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235E6F5-4AE4-4B14-BC02-9047A5C84E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6" l="1"/>
  <c r="G12" i="6"/>
  <c r="G16" i="6"/>
  <c r="G18" i="6"/>
  <c r="U22" i="3"/>
  <c r="H22" i="6" l="1"/>
  <c r="Y11" i="3" l="1"/>
  <c r="H23" i="3"/>
  <c r="G22" i="3"/>
  <c r="G21" i="3"/>
  <c r="G20" i="3"/>
  <c r="G19" i="3"/>
  <c r="G18" i="3"/>
  <c r="G17" i="3"/>
  <c r="G16" i="3"/>
  <c r="G15" i="3"/>
  <c r="G14" i="3"/>
  <c r="G13" i="3"/>
  <c r="G12" i="3"/>
  <c r="G11" i="3"/>
  <c r="F11" i="3"/>
  <c r="I11" i="1" l="1"/>
  <c r="I12" i="1"/>
  <c r="I13" i="1"/>
  <c r="I14" i="1"/>
  <c r="I15" i="1"/>
  <c r="I16" i="1"/>
  <c r="I17" i="1"/>
  <c r="I18" i="1"/>
  <c r="I19" i="1"/>
  <c r="I20" i="1"/>
  <c r="I21" i="1"/>
  <c r="X23" i="3"/>
  <c r="C23" i="3" l="1"/>
  <c r="W23" i="3" l="1"/>
  <c r="B22" i="6"/>
  <c r="J10" i="1"/>
  <c r="I10" i="1"/>
  <c r="H10" i="1"/>
  <c r="F10" i="6" l="1"/>
  <c r="I22" i="6" l="1"/>
  <c r="N18" i="3" l="1"/>
  <c r="F22" i="6" l="1"/>
  <c r="F21" i="6"/>
  <c r="F20" i="6"/>
  <c r="F19" i="6"/>
  <c r="F18" i="6"/>
  <c r="F17" i="6"/>
  <c r="F16" i="6"/>
  <c r="F15" i="6"/>
  <c r="F14" i="6"/>
  <c r="F13" i="6"/>
  <c r="F12" i="6"/>
  <c r="F11" i="6"/>
  <c r="D23" i="3" l="1"/>
  <c r="F12" i="3" l="1"/>
  <c r="F21" i="3"/>
  <c r="F17" i="3"/>
  <c r="F13" i="3"/>
  <c r="F14" i="3"/>
  <c r="F16" i="3"/>
  <c r="F18" i="3"/>
  <c r="F20" i="3"/>
  <c r="F22" i="3"/>
  <c r="F15" i="3"/>
  <c r="F19" i="3"/>
  <c r="S23" i="3"/>
  <c r="R23" i="3"/>
  <c r="M23" i="3"/>
  <c r="L23" i="3"/>
  <c r="K23" i="3"/>
  <c r="T22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P11" i="3" l="1"/>
  <c r="J22" i="3"/>
  <c r="J18" i="3"/>
  <c r="J14" i="3"/>
  <c r="J21" i="3"/>
  <c r="J17" i="3"/>
  <c r="J13" i="3"/>
  <c r="J19" i="3"/>
  <c r="J15" i="3"/>
  <c r="J20" i="3"/>
  <c r="J16" i="3"/>
  <c r="J12" i="3"/>
  <c r="J11" i="3"/>
  <c r="T23" i="3"/>
  <c r="N23" i="3"/>
  <c r="P12" i="3" s="1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U11" i="3"/>
  <c r="P22" i="3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G2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B22" i="1"/>
  <c r="C22" i="1"/>
  <c r="D22" i="1"/>
  <c r="H21" i="1"/>
  <c r="H20" i="1"/>
  <c r="H19" i="1"/>
  <c r="H18" i="1"/>
  <c r="H17" i="1"/>
  <c r="H16" i="1"/>
  <c r="H15" i="1"/>
  <c r="H14" i="1"/>
  <c r="H13" i="1"/>
  <c r="H12" i="1"/>
  <c r="H11" i="1"/>
  <c r="G10" i="1" l="1"/>
  <c r="K10" i="1" s="1"/>
  <c r="G21" i="1"/>
  <c r="I22" i="1"/>
  <c r="H22" i="1"/>
  <c r="G14" i="1"/>
  <c r="M21" i="1"/>
  <c r="G13" i="1"/>
  <c r="K13" i="1" s="1"/>
  <c r="G17" i="1"/>
  <c r="K22" i="1"/>
  <c r="M22" i="1"/>
  <c r="L22" i="1"/>
  <c r="G20" i="1"/>
  <c r="K20" i="1" s="1"/>
  <c r="G11" i="1"/>
  <c r="G15" i="1"/>
  <c r="G19" i="1"/>
  <c r="G12" i="1"/>
  <c r="G16" i="1"/>
  <c r="G18" i="1"/>
  <c r="N10" i="1" l="1"/>
  <c r="L10" i="1"/>
  <c r="M10" i="1"/>
  <c r="N22" i="1"/>
  <c r="O22" i="1" s="1"/>
  <c r="L21" i="1"/>
  <c r="O21" i="1" s="1"/>
  <c r="N18" i="1"/>
  <c r="K17" i="1"/>
  <c r="M17" i="1"/>
  <c r="L17" i="1"/>
  <c r="L14" i="1"/>
  <c r="M14" i="1"/>
  <c r="L13" i="1"/>
  <c r="O13" i="1" s="1"/>
  <c r="N17" i="1"/>
  <c r="K21" i="1"/>
  <c r="M13" i="1"/>
  <c r="K18" i="1"/>
  <c r="M18" i="1"/>
  <c r="L18" i="1"/>
  <c r="K14" i="1"/>
  <c r="M15" i="1"/>
  <c r="L15" i="1"/>
  <c r="K15" i="1"/>
  <c r="K16" i="1"/>
  <c r="M16" i="1"/>
  <c r="L16" i="1"/>
  <c r="K12" i="1"/>
  <c r="M12" i="1"/>
  <c r="L12" i="1"/>
  <c r="O12" i="1" s="1"/>
  <c r="M19" i="1"/>
  <c r="L19" i="1"/>
  <c r="K19" i="1"/>
  <c r="M11" i="1"/>
  <c r="L11" i="1"/>
  <c r="K11" i="1"/>
  <c r="M20" i="1"/>
  <c r="L20" i="1"/>
  <c r="O20" i="1" s="1"/>
  <c r="N19" i="1"/>
  <c r="N15" i="1"/>
  <c r="N12" i="1"/>
  <c r="N21" i="1"/>
  <c r="N14" i="1"/>
  <c r="N13" i="1"/>
  <c r="N20" i="1"/>
  <c r="N16" i="1"/>
  <c r="N11" i="1"/>
  <c r="Y19" i="3"/>
  <c r="Y17" i="3"/>
  <c r="Y22" i="3"/>
  <c r="Y16" i="3"/>
  <c r="Y18" i="3"/>
  <c r="Y21" i="3"/>
  <c r="Y14" i="3"/>
  <c r="Y15" i="3"/>
  <c r="Y20" i="3"/>
  <c r="Y13" i="3"/>
  <c r="Y12" i="3"/>
  <c r="O19" i="1" l="1"/>
  <c r="O18" i="1"/>
  <c r="O14" i="1"/>
  <c r="O10" i="1"/>
  <c r="O16" i="1"/>
  <c r="O15" i="1"/>
  <c r="O17" i="1"/>
  <c r="O11" i="1"/>
  <c r="Y23" i="3"/>
  <c r="Z23" i="3" l="1"/>
  <c r="Z11" i="3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<sst xmlns="http://schemas.openxmlformats.org/spreadsheetml/2006/main" count="120" uniqueCount="87">
  <si>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</si>
  <si>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</si>
  <si>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</si>
  <si>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</si>
  <si>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</si>
  <si>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</si>
  <si>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</si>
  <si>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</si>
  <si>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</si>
  <si>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</si>
  <si>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</si>
  <si>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</si>
  <si>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</si>
  <si>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</si>
  <si>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</si>
  <si>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</si>
  <si>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</si>
  <si>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</si>
  <si>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</si>
  <si>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</si>
  <si>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</si>
  <si>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</si>
  <si>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</si>
  <si>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</si>
  <si>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</si>
  <si>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</si>
  <si>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</si>
  <si>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</si>
  <si>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</si>
  <si>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</si>
  <si>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</si>
  <si>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</si>
  <si>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</si>
  <si>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</si>
  <si>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</si>
  <si>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</si>
  <si>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</si>
  <si>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</si>
  <si>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</si>
  <si>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</si>
  <si>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</si>
  <si>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</si>
  <si>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</si>
  <si>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</si>
  <si>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</si>
  <si>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</si>
  <si>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</si>
  <si>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</si>
  <si>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</si>
  <si>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</si>
  <si>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</si>
  <si>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</si>
  <si>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</si>
  <si>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</si>
  <si>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</si>
  <si>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</si>
  <si>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</si>
  <si>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</si>
  <si>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</si>
  <si>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</si>
  <si>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</si>
  <si>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</si>
  <si>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</si>
  <si>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</si>
  <si>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</si>
  <si>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</si>
  <si>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</si>
  <si>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</si>
  <si>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</si>
  <si>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</si>
  <si>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</si>
  <si>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</si>
  <si>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color theme="1"/>
        <rFont val="Calibri"/>
        <family val="2"/>
        <charset val="204"/>
      </rPr>
      <t>Σгр.</t>
    </r>
    <r>
      <rPr>
        <b/>
        <sz val="11"/>
        <color theme="1"/>
        <rFont val="Calibri"/>
        <family val="2"/>
        <charset val="204"/>
        <scheme val="minor"/>
      </rPr>
      <t>1/12)/гр.1</t>
    </r>
  </si>
  <si>
    <t xml:space="preserve"> Расчет индекса  бюджетных расходов поселений Краснокутского  района на 2025 год</t>
  </si>
  <si>
    <t>Расчет индекса доходного потенциала поселений Краснокутского района на 2025год ( продолжение)</t>
  </si>
  <si>
    <t>14=гр.10*0,183+гр.11*0,113+гр.12*0,064+гр.13*0,640</t>
  </si>
  <si>
    <t>Расчет индекса доходного потенциала поселений Краснокутского района на 2025 год</t>
  </si>
  <si>
    <t xml:space="preserve">Прогноз налога на имущество физических лиц       на 2025 год,   рублей     </t>
  </si>
  <si>
    <t>Земельный налог, по форме 5-МН за 2023год</t>
  </si>
  <si>
    <t>ФОТ, прогноз на 2025 год, тыс. руб</t>
  </si>
  <si>
    <t>Сумма налога по 5-НДФЛ за 2023 год</t>
  </si>
  <si>
    <t xml:space="preserve">Прогноз налога на доходы физических лиц на 2025 год,    руб        </t>
  </si>
  <si>
    <t>Прогноз  земельного  налога   на 2025 год</t>
  </si>
  <si>
    <t>Сумма налога к уплате в бюджет  по форме 5-МН за 2023 год.  Рублей</t>
  </si>
  <si>
    <t>5=108445381/30318*(0,4 гр.4)*гр.3*гр.1</t>
  </si>
  <si>
    <r>
      <t xml:space="preserve">Утверждено на 2025  год ( решение Собрания депутатов "О бюджете Краснокутского муниципального района на </t>
    </r>
    <r>
      <rPr>
        <b/>
        <sz val="11"/>
        <rFont val="Calibri"/>
        <family val="2"/>
        <charset val="204"/>
        <scheme val="minor"/>
      </rPr>
      <t>2024 год и на плановый период 2025 и 2026годов)</t>
    </r>
  </si>
  <si>
    <t xml:space="preserve">   Расчет распределения на 2025 год дотации на выравнивания бюджетной обеспеченности поселений Краснокутского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</si>
</sst>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 tint="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7" xfId="0" applyFont="1" applyFill="1" applyBorder="1"/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0" fontId="4" fillId="0" borderId="4" xfId="0" applyFont="1" applyFill="1" applyBorder="1"/>
    <xf numFmtId="0" fontId="9" fillId="0" borderId="4" xfId="0" applyFont="1" applyFill="1" applyBorder="1"/>
    <xf numFmtId="0" fontId="4" fillId="0" borderId="4" xfId="0" applyFont="1" applyFill="1" applyBorder="1" applyAlignment="1">
      <alignment horizontal="center" wrapText="1"/>
    </xf>
    <xf numFmtId="164" fontId="0" fillId="0" borderId="4" xfId="0" applyNumberFormat="1" applyFont="1" applyFill="1" applyBorder="1"/>
    <xf numFmtId="164" fontId="4" fillId="0" borderId="4" xfId="0" applyNumberFormat="1" applyFont="1" applyFill="1" applyBorder="1"/>
    <xf numFmtId="164" fontId="1" fillId="0" borderId="4" xfId="0" applyNumberFormat="1" applyFont="1" applyFill="1" applyBorder="1"/>
    <xf numFmtId="166" fontId="8" fillId="0" borderId="4" xfId="0" applyNumberFormat="1" applyFont="1" applyFill="1" applyBorder="1"/>
    <xf numFmtId="166" fontId="8" fillId="0" borderId="0" xfId="0" applyNumberFormat="1" applyFont="1" applyFill="1" applyBorder="1"/>
    <xf numFmtId="1" fontId="8" fillId="0" borderId="2" xfId="0" applyNumberFormat="1" applyFont="1" applyFill="1" applyBorder="1"/>
    <xf numFmtId="1" fontId="8" fillId="0" borderId="4" xfId="0" applyNumberFormat="1" applyFont="1" applyFill="1" applyBorder="1"/>
    <xf numFmtId="1" fontId="8" fillId="0" borderId="0" xfId="0" applyNumberFormat="1" applyFont="1" applyFill="1"/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/>
    </xf>
    <xf numFmtId="165" fontId="8" fillId="0" borderId="4" xfId="0" applyNumberFormat="1" applyFont="1" applyFill="1" applyBorder="1"/>
    <xf numFmtId="1" fontId="8" fillId="0" borderId="4" xfId="0" applyNumberFormat="1" applyFont="1" applyFill="1" applyBorder="1" applyAlignment="1">
      <alignment horizontal="center"/>
    </xf>
    <xf numFmtId="166" fontId="8" fillId="0" borderId="4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4" fontId="8" fillId="0" borderId="0" xfId="0" applyNumberFormat="1" applyFont="1" applyFill="1"/>
    <xf numFmtId="0" fontId="0" fillId="0" borderId="4" xfId="0" applyNumberFormat="1" applyFont="1" applyFill="1" applyBorder="1"/>
    <xf numFmtId="4" fontId="8" fillId="0" borderId="4" xfId="0" applyNumberFormat="1" applyFont="1" applyFill="1" applyBorder="1"/>
    <xf numFmtId="4" fontId="9" fillId="0" borderId="4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4" fontId="1" fillId="0" borderId="0" xfId="0" applyNumberFormat="1" applyFont="1" applyFill="1"/>
    <xf numFmtId="2" fontId="1" fillId="0" borderId="0" xfId="0" applyNumberFormat="1" applyFont="1" applyFill="1"/>
    <xf numFmtId="0" fontId="4" fillId="0" borderId="0" xfId="0" applyFont="1" applyFill="1"/>
    <xf numFmtId="0" fontId="0" fillId="0" borderId="7" xfId="0" applyFont="1" applyFill="1" applyBorder="1"/>
    <xf numFmtId="0" fontId="0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/>
    <xf numFmtId="4" fontId="8" fillId="0" borderId="2" xfId="0" applyNumberFormat="1" applyFont="1" applyFill="1" applyBorder="1"/>
    <xf numFmtId="0" fontId="2" fillId="0" borderId="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 wrapText="1"/>
    </xf>
    <xf numFmtId="4" fontId="16" fillId="0" borderId="4" xfId="0" applyNumberFormat="1" applyFont="1" applyFill="1" applyBorder="1"/>
    <xf numFmtId="4" fontId="9" fillId="0" borderId="4" xfId="0" applyNumberFormat="1" applyFont="1" applyFill="1" applyBorder="1"/>
    <xf numFmtId="4" fontId="4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6" xfId="0" applyFont="1" applyFill="1" applyBorder="1" applyAlignment="1">
      <alignment wrapText="1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K29"/>
  <sheetViews>
    <sheetView tabSelected="1" zoomScaleNormal="100" workbookViewId="0">
      <selection activeCell="G17" sqref="G17"/>
    </sheetView>
  </sheetViews>
  <sheetFormatPr defaultRowHeight="15" x14ac:dyDescent="0.25"/>
  <cols>
    <col min="1" max="1" width="23.5703125" style="3" customWidth="1"/>
    <col min="2" max="2" width="13.85546875" style="3" customWidth="1"/>
    <col min="3" max="3" width="14.140625" style="3" hidden="1" customWidth="1"/>
    <col min="4" max="4" width="18.28515625" style="3" customWidth="1"/>
    <col min="5" max="5" width="13.140625" style="3" customWidth="1"/>
    <col min="6" max="6" width="13.28515625" style="3" customWidth="1"/>
    <col min="7" max="7" width="24" style="3" customWidth="1"/>
    <col min="8" max="8" width="22" style="3" customWidth="1"/>
    <col min="9" max="9" width="16.5703125" style="3" customWidth="1"/>
    <col min="10" max="10" width="15.7109375" style="3" customWidth="1"/>
    <col min="11" max="16384" width="9.140625" style="3"/>
  </cols>
  <sheetData>
    <row r="1" spans="1:10" s="11" customFormat="1" x14ac:dyDescent="0.25"/>
    <row r="2" spans="1:10" s="11" customFormat="1" x14ac:dyDescent="0.25">
      <c r="A2" s="78" t="s">
        <v>86</v>
      </c>
    </row>
    <row r="3" spans="1:10" s="11" customFormat="1" x14ac:dyDescent="0.25">
      <c r="J3" s="79"/>
    </row>
    <row r="4" spans="1:10" s="11" customFormat="1" x14ac:dyDescent="0.25">
      <c r="I4" s="11" t="s">
        <v>69</v>
      </c>
      <c r="J4" s="79"/>
    </row>
    <row r="5" spans="1:10" s="11" customFormat="1" ht="45" customHeight="1" x14ac:dyDescent="0.25">
      <c r="A5" s="90"/>
      <c r="B5" s="86" t="s">
        <v>0</v>
      </c>
      <c r="C5" s="70"/>
      <c r="D5" s="86" t="s">
        <v>38</v>
      </c>
      <c r="E5" s="86" t="s">
        <v>40</v>
      </c>
      <c r="F5" s="86" t="s">
        <v>39</v>
      </c>
      <c r="G5" s="88" t="s">
        <v>71</v>
      </c>
      <c r="H5" s="86" t="s">
        <v>85</v>
      </c>
      <c r="I5" s="88" t="s">
        <v>42</v>
      </c>
      <c r="J5" s="89"/>
    </row>
    <row r="6" spans="1:10" s="11" customFormat="1" ht="90" customHeight="1" x14ac:dyDescent="0.25">
      <c r="A6" s="91"/>
      <c r="B6" s="87"/>
      <c r="C6" s="71"/>
      <c r="D6" s="87"/>
      <c r="E6" s="87"/>
      <c r="F6" s="87"/>
      <c r="G6" s="88"/>
      <c r="H6" s="87"/>
      <c r="I6" s="88"/>
      <c r="J6" s="89"/>
    </row>
    <row r="7" spans="1:10" x14ac:dyDescent="0.25">
      <c r="A7" s="81"/>
      <c r="B7" s="9"/>
      <c r="C7" s="9"/>
      <c r="D7" s="2"/>
      <c r="E7" s="2"/>
      <c r="F7" s="2"/>
      <c r="G7" s="2"/>
      <c r="H7" s="22"/>
      <c r="I7" s="2"/>
      <c r="J7" s="25"/>
    </row>
    <row r="8" spans="1:10" ht="30" x14ac:dyDescent="0.25">
      <c r="A8" s="10"/>
      <c r="B8" s="15">
        <v>1</v>
      </c>
      <c r="C8" s="10"/>
      <c r="D8" s="18">
        <v>2</v>
      </c>
      <c r="E8" s="18">
        <v>3</v>
      </c>
      <c r="F8" s="18">
        <v>4</v>
      </c>
      <c r="G8" s="26" t="s">
        <v>84</v>
      </c>
      <c r="H8" s="82"/>
      <c r="I8" s="26"/>
      <c r="J8" s="21"/>
    </row>
    <row r="9" spans="1:10" x14ac:dyDescent="0.25">
      <c r="A9" s="1"/>
      <c r="B9" s="13"/>
      <c r="C9" s="1"/>
      <c r="D9" s="18"/>
      <c r="E9" s="18"/>
      <c r="F9" s="18"/>
      <c r="G9" s="18"/>
      <c r="H9" s="83"/>
      <c r="I9" s="18"/>
      <c r="J9" s="21"/>
    </row>
    <row r="10" spans="1:10" x14ac:dyDescent="0.25">
      <c r="A10" s="14" t="s">
        <v>8</v>
      </c>
      <c r="B10" s="18">
        <v>16466</v>
      </c>
      <c r="C10" s="2"/>
      <c r="D10" s="38">
        <v>1.071</v>
      </c>
      <c r="E10" s="18">
        <v>1.0069999999999999</v>
      </c>
      <c r="F10" s="38">
        <f>SUM(D10/E10)</f>
        <v>1.0635551142005959</v>
      </c>
      <c r="G10" s="41"/>
      <c r="H10" s="40"/>
      <c r="I10" s="18"/>
      <c r="J10" s="21"/>
    </row>
    <row r="11" spans="1:10" x14ac:dyDescent="0.25">
      <c r="A11" s="14" t="s">
        <v>9</v>
      </c>
      <c r="B11" s="14">
        <v>941</v>
      </c>
      <c r="C11" s="2"/>
      <c r="D11" s="38">
        <v>0.45</v>
      </c>
      <c r="E11" s="18">
        <v>1.016</v>
      </c>
      <c r="F11" s="38">
        <f t="shared" ref="F11:F22" si="0">SUM(D11/E11)</f>
        <v>0.44291338582677164</v>
      </c>
      <c r="G11" s="41"/>
      <c r="H11" s="84">
        <v>32530</v>
      </c>
      <c r="I11" s="66">
        <v>32530</v>
      </c>
      <c r="J11" s="21"/>
    </row>
    <row r="12" spans="1:10" x14ac:dyDescent="0.25">
      <c r="A12" s="14" t="s">
        <v>10</v>
      </c>
      <c r="B12" s="14">
        <v>1106</v>
      </c>
      <c r="C12" s="2"/>
      <c r="D12" s="18">
        <v>0.35699999999999998</v>
      </c>
      <c r="E12" s="18">
        <v>1.0589999999999999</v>
      </c>
      <c r="F12" s="38">
        <f t="shared" si="0"/>
        <v>0.33711048158640228</v>
      </c>
      <c r="G12" s="66">
        <f t="shared" ref="G12:G18" si="1">108445381/30318*(0.4-F12)*E12*B12</f>
        <v>263475.27496231941</v>
      </c>
      <c r="H12" s="84">
        <v>442841</v>
      </c>
      <c r="I12" s="66">
        <v>442841</v>
      </c>
      <c r="J12" s="21"/>
    </row>
    <row r="13" spans="1:10" x14ac:dyDescent="0.25">
      <c r="A13" s="14" t="s">
        <v>11</v>
      </c>
      <c r="B13" s="14">
        <v>1233</v>
      </c>
      <c r="C13" s="2"/>
      <c r="D13" s="18">
        <v>2.2719999999999998</v>
      </c>
      <c r="E13" s="18">
        <v>1.1180000000000001</v>
      </c>
      <c r="F13" s="38">
        <f t="shared" si="0"/>
        <v>2.0322003577817527</v>
      </c>
      <c r="G13" s="66"/>
      <c r="H13" s="84"/>
      <c r="I13" s="66"/>
      <c r="J13" s="21"/>
    </row>
    <row r="14" spans="1:10" x14ac:dyDescent="0.25">
      <c r="A14" s="14" t="s">
        <v>12</v>
      </c>
      <c r="B14" s="14">
        <v>1383</v>
      </c>
      <c r="C14" s="2"/>
      <c r="D14" s="18">
        <v>0.51100000000000001</v>
      </c>
      <c r="E14" s="18">
        <v>0.90400000000000003</v>
      </c>
      <c r="F14" s="38">
        <f t="shared" si="0"/>
        <v>0.56526548672566368</v>
      </c>
      <c r="G14" s="66"/>
      <c r="H14" s="84"/>
      <c r="I14" s="66"/>
      <c r="J14" s="21"/>
    </row>
    <row r="15" spans="1:10" x14ac:dyDescent="0.25">
      <c r="A15" s="14" t="s">
        <v>13</v>
      </c>
      <c r="B15" s="14">
        <v>866</v>
      </c>
      <c r="C15" s="2"/>
      <c r="D15" s="38">
        <v>4.3849999999999998</v>
      </c>
      <c r="E15" s="18">
        <v>1.0660000000000001</v>
      </c>
      <c r="F15" s="38">
        <f t="shared" si="0"/>
        <v>4.1135084427767348</v>
      </c>
      <c r="G15" s="66"/>
      <c r="H15" s="84"/>
      <c r="I15" s="66"/>
      <c r="J15" s="21"/>
    </row>
    <row r="16" spans="1:10" x14ac:dyDescent="0.25">
      <c r="A16" s="14" t="s">
        <v>14</v>
      </c>
      <c r="B16" s="14">
        <v>989</v>
      </c>
      <c r="C16" s="2"/>
      <c r="D16" s="18">
        <v>0.371</v>
      </c>
      <c r="E16" s="18">
        <v>1.085</v>
      </c>
      <c r="F16" s="38">
        <f t="shared" si="0"/>
        <v>0.34193548387096773</v>
      </c>
      <c r="G16" s="66">
        <f t="shared" si="1"/>
        <v>222867.8129812984</v>
      </c>
      <c r="H16" s="84">
        <v>477576</v>
      </c>
      <c r="I16" s="66">
        <v>477576</v>
      </c>
      <c r="J16" s="21"/>
    </row>
    <row r="17" spans="1:11" x14ac:dyDescent="0.25">
      <c r="A17" s="14" t="s">
        <v>15</v>
      </c>
      <c r="B17" s="14">
        <v>1373</v>
      </c>
      <c r="C17" s="2"/>
      <c r="D17" s="18">
        <v>1.1519999999999999</v>
      </c>
      <c r="E17" s="18">
        <v>0.92900000000000005</v>
      </c>
      <c r="F17" s="38">
        <f t="shared" si="0"/>
        <v>1.2400430570505918</v>
      </c>
      <c r="G17" s="66"/>
      <c r="H17" s="84"/>
      <c r="I17" s="66"/>
      <c r="J17" s="21"/>
    </row>
    <row r="18" spans="1:11" x14ac:dyDescent="0.25">
      <c r="A18" s="14" t="s">
        <v>16</v>
      </c>
      <c r="B18" s="14">
        <v>1727</v>
      </c>
      <c r="C18" s="2"/>
      <c r="D18" s="18">
        <v>0.30399999999999999</v>
      </c>
      <c r="E18" s="18">
        <v>0.96099999999999997</v>
      </c>
      <c r="F18" s="38">
        <f t="shared" si="0"/>
        <v>0.31633714880332986</v>
      </c>
      <c r="G18" s="66">
        <f t="shared" si="1"/>
        <v>496659.67109158926</v>
      </c>
      <c r="H18" s="84">
        <v>608950</v>
      </c>
      <c r="I18" s="66">
        <v>608950</v>
      </c>
      <c r="J18" s="21"/>
    </row>
    <row r="19" spans="1:11" x14ac:dyDescent="0.25">
      <c r="A19" s="14" t="s">
        <v>17</v>
      </c>
      <c r="B19" s="14">
        <v>1919</v>
      </c>
      <c r="C19" s="2"/>
      <c r="D19" s="38">
        <v>0.499</v>
      </c>
      <c r="E19" s="18">
        <v>0.81899999999999995</v>
      </c>
      <c r="F19" s="38">
        <f t="shared" si="0"/>
        <v>0.60927960927960934</v>
      </c>
      <c r="G19" s="66"/>
      <c r="H19" s="84"/>
      <c r="I19" s="66"/>
      <c r="J19" s="21"/>
    </row>
    <row r="20" spans="1:11" x14ac:dyDescent="0.25">
      <c r="A20" s="14" t="s">
        <v>18</v>
      </c>
      <c r="B20" s="14">
        <v>1333</v>
      </c>
      <c r="C20" s="2"/>
      <c r="D20" s="18">
        <v>0.37</v>
      </c>
      <c r="E20" s="18">
        <v>0.90400000000000003</v>
      </c>
      <c r="F20" s="38">
        <f t="shared" si="0"/>
        <v>0.40929203539823006</v>
      </c>
      <c r="G20" s="66"/>
      <c r="H20" s="84">
        <v>253310</v>
      </c>
      <c r="I20" s="66">
        <v>253310</v>
      </c>
      <c r="J20" s="21"/>
    </row>
    <row r="21" spans="1:11" x14ac:dyDescent="0.25">
      <c r="A21" s="14" t="s">
        <v>19</v>
      </c>
      <c r="B21" s="14">
        <v>982</v>
      </c>
      <c r="C21" s="2"/>
      <c r="D21" s="38">
        <v>0.63900000000000001</v>
      </c>
      <c r="E21" s="38">
        <v>1.0069999999999999</v>
      </c>
      <c r="F21" s="38">
        <f t="shared" si="0"/>
        <v>0.63455809334657409</v>
      </c>
      <c r="G21" s="66"/>
      <c r="H21" s="84"/>
      <c r="I21" s="66"/>
      <c r="J21" s="21"/>
    </row>
    <row r="22" spans="1:11" x14ac:dyDescent="0.25">
      <c r="A22" s="14" t="s">
        <v>7</v>
      </c>
      <c r="B22" s="32">
        <f t="shared" ref="B22" si="2">SUM(B10:B21)</f>
        <v>30318</v>
      </c>
      <c r="C22" s="85"/>
      <c r="D22" s="18">
        <v>1</v>
      </c>
      <c r="E22" s="18">
        <v>1</v>
      </c>
      <c r="F22" s="38">
        <f t="shared" si="0"/>
        <v>1</v>
      </c>
      <c r="G22" s="84">
        <f>SUM(G11:G21)</f>
        <v>983002.7590352071</v>
      </c>
      <c r="H22" s="84">
        <f>SUM(H11:H21)</f>
        <v>1815207</v>
      </c>
      <c r="I22" s="66">
        <f>SUM(I11:I20)</f>
        <v>1815207</v>
      </c>
      <c r="J22" s="21"/>
      <c r="K22" s="21"/>
    </row>
    <row r="23" spans="1:11" x14ac:dyDescent="0.25">
      <c r="A23" s="14"/>
      <c r="B23" s="2"/>
      <c r="C23" s="2"/>
      <c r="D23" s="18"/>
      <c r="E23" s="18"/>
      <c r="F23" s="18"/>
      <c r="G23" s="41"/>
      <c r="H23" s="40"/>
      <c r="I23" s="18"/>
      <c r="J23" s="21"/>
    </row>
    <row r="24" spans="1:11" x14ac:dyDescent="0.25">
      <c r="A24" s="14"/>
      <c r="B24" s="2"/>
      <c r="C24" s="2"/>
      <c r="D24" s="18"/>
      <c r="E24" s="18"/>
      <c r="F24" s="18"/>
      <c r="G24" s="41"/>
      <c r="H24" s="40"/>
      <c r="I24" s="18"/>
      <c r="J24" s="21"/>
    </row>
    <row r="25" spans="1:11" x14ac:dyDescent="0.25">
      <c r="D25" s="20"/>
      <c r="E25" s="20"/>
      <c r="F25" s="20"/>
      <c r="G25" s="20"/>
      <c r="H25" s="20"/>
      <c r="I25" s="42"/>
      <c r="J25" s="20"/>
    </row>
    <row r="27" spans="1:11" x14ac:dyDescent="0.25">
      <c r="A27" s="20" t="s">
        <v>41</v>
      </c>
      <c r="B27" s="20"/>
      <c r="C27" s="20">
        <v>63668130</v>
      </c>
      <c r="D27" s="64">
        <v>108445381</v>
      </c>
      <c r="E27" s="20"/>
      <c r="G27" s="7"/>
    </row>
    <row r="29" spans="1:11" x14ac:dyDescent="0.25">
      <c r="G29" s="76"/>
      <c r="H29" s="77"/>
      <c r="I29" s="7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Normal="100" workbookViewId="0">
      <pane xSplit="2" ySplit="9" topLeftCell="S16" activePane="bottomRight" state="frozen"/>
      <selection pane="topRight" activeCell="C1" sqref="C1"/>
      <selection pane="bottomLeft" activeCell="A9" sqref="A9"/>
      <selection pane="bottomRight" activeCell="C32" sqref="C32"/>
    </sheetView>
  </sheetViews>
  <sheetFormatPr defaultRowHeight="15" x14ac:dyDescent="0.25"/>
  <cols>
    <col min="1" max="1" width="4.140625" style="3" customWidth="1"/>
    <col min="2" max="2" width="19.7109375" style="3" customWidth="1"/>
    <col min="3" max="4" width="15.140625" style="8" customWidth="1"/>
    <col min="5" max="14" width="15.140625" style="3" customWidth="1"/>
    <col min="15" max="16" width="16" style="3" customWidth="1"/>
    <col min="17" max="17" width="0.7109375" style="3" customWidth="1"/>
    <col min="18" max="22" width="16" style="3" customWidth="1"/>
    <col min="23" max="23" width="13" style="4" customWidth="1"/>
    <col min="24" max="24" width="17.5703125" style="4" customWidth="1"/>
    <col min="25" max="25" width="18.5703125" style="4" customWidth="1"/>
    <col min="26" max="26" width="15.28515625" style="4" customWidth="1"/>
    <col min="27" max="27" width="9.42578125" style="3" bestFit="1" customWidth="1"/>
    <col min="28" max="16384" width="9.140625" style="3"/>
  </cols>
  <sheetData>
    <row r="1" spans="1:27" ht="1.5" customHeight="1" x14ac:dyDescent="0.25"/>
    <row r="2" spans="1:27" s="11" customFormat="1" ht="4.5" customHeight="1" x14ac:dyDescent="0.25">
      <c r="C2" s="106"/>
      <c r="D2" s="106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W2" s="19"/>
      <c r="X2" s="19"/>
      <c r="Y2" s="19"/>
      <c r="Z2" s="19"/>
    </row>
    <row r="3" spans="1:27" s="11" customFormat="1" ht="15" customHeight="1" x14ac:dyDescent="0.3">
      <c r="B3" s="92" t="s">
        <v>76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107"/>
      <c r="O3" s="107"/>
      <c r="P3" s="92" t="s">
        <v>74</v>
      </c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s="11" customFormat="1" ht="15" customHeight="1" x14ac:dyDescent="0.3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07"/>
      <c r="O4" s="107"/>
      <c r="P4" s="73"/>
      <c r="Q4" s="73"/>
      <c r="R4" s="73"/>
      <c r="S4" s="73"/>
      <c r="T4" s="73"/>
      <c r="U4" s="73"/>
      <c r="V4" s="73"/>
      <c r="W4" s="73"/>
      <c r="X4" s="73"/>
      <c r="Y4" s="73"/>
      <c r="Z4" s="12" t="s">
        <v>68</v>
      </c>
      <c r="AA4" s="73"/>
    </row>
    <row r="5" spans="1:27" ht="6" customHeight="1" x14ac:dyDescent="0.25"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27" hidden="1" x14ac:dyDescent="0.25"/>
    <row r="7" spans="1:27" ht="15" customHeight="1" x14ac:dyDescent="0.25">
      <c r="A7" s="14"/>
      <c r="B7" s="86" t="s">
        <v>28</v>
      </c>
      <c r="C7" s="94" t="s">
        <v>29</v>
      </c>
      <c r="D7" s="95"/>
      <c r="E7" s="95"/>
      <c r="F7" s="95"/>
      <c r="G7" s="96"/>
      <c r="H7" s="95" t="s">
        <v>44</v>
      </c>
      <c r="I7" s="95"/>
      <c r="J7" s="95"/>
      <c r="K7" s="95"/>
      <c r="L7" s="97"/>
      <c r="M7" s="97"/>
      <c r="N7" s="97"/>
      <c r="O7" s="97"/>
      <c r="P7" s="98"/>
      <c r="Q7" s="98"/>
      <c r="R7" s="98"/>
      <c r="S7" s="98"/>
      <c r="T7" s="99"/>
      <c r="U7" s="86" t="s">
        <v>67</v>
      </c>
      <c r="V7" s="86" t="s">
        <v>32</v>
      </c>
      <c r="W7" s="88" t="s">
        <v>48</v>
      </c>
      <c r="X7" s="88" t="s">
        <v>36</v>
      </c>
      <c r="Y7" s="88" t="s">
        <v>37</v>
      </c>
      <c r="Z7" s="88" t="s">
        <v>38</v>
      </c>
    </row>
    <row r="8" spans="1:27" s="23" customFormat="1" ht="122.25" customHeight="1" x14ac:dyDescent="0.25">
      <c r="A8" s="74" t="s">
        <v>30</v>
      </c>
      <c r="B8" s="93"/>
      <c r="C8" s="74" t="s">
        <v>79</v>
      </c>
      <c r="D8" s="74" t="s">
        <v>80</v>
      </c>
      <c r="E8" s="74" t="s">
        <v>81</v>
      </c>
      <c r="F8" s="74" t="s">
        <v>43</v>
      </c>
      <c r="G8" s="74" t="s">
        <v>31</v>
      </c>
      <c r="H8" s="43" t="s">
        <v>83</v>
      </c>
      <c r="I8" s="43" t="s">
        <v>45</v>
      </c>
      <c r="J8" s="43" t="s">
        <v>46</v>
      </c>
      <c r="K8" s="43" t="s">
        <v>77</v>
      </c>
      <c r="L8" s="100" t="s">
        <v>78</v>
      </c>
      <c r="M8" s="101"/>
      <c r="N8" s="102"/>
      <c r="O8" s="74" t="s">
        <v>45</v>
      </c>
      <c r="P8" s="44" t="s">
        <v>46</v>
      </c>
      <c r="Q8" s="17"/>
      <c r="R8" s="100" t="s">
        <v>82</v>
      </c>
      <c r="S8" s="101"/>
      <c r="T8" s="102"/>
      <c r="U8" s="87"/>
      <c r="V8" s="87"/>
      <c r="W8" s="88"/>
      <c r="X8" s="88"/>
      <c r="Y8" s="88"/>
      <c r="Z8" s="88"/>
    </row>
    <row r="9" spans="1:27" s="24" customFormat="1" x14ac:dyDescent="0.25">
      <c r="A9" s="34">
        <v>1</v>
      </c>
      <c r="B9" s="34">
        <v>2</v>
      </c>
      <c r="C9" s="74">
        <v>3</v>
      </c>
      <c r="D9" s="7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74">
        <v>12</v>
      </c>
      <c r="M9" s="74">
        <v>13</v>
      </c>
      <c r="N9" s="74">
        <v>14</v>
      </c>
      <c r="O9" s="34">
        <v>15</v>
      </c>
      <c r="P9" s="34">
        <v>16</v>
      </c>
      <c r="Q9" s="34"/>
      <c r="R9" s="74">
        <v>17</v>
      </c>
      <c r="S9" s="74">
        <v>18</v>
      </c>
      <c r="T9" s="74">
        <v>19</v>
      </c>
      <c r="U9" s="34">
        <v>20</v>
      </c>
      <c r="V9" s="34">
        <v>21</v>
      </c>
      <c r="W9" s="34">
        <v>22</v>
      </c>
      <c r="X9" s="34">
        <v>23</v>
      </c>
      <c r="Y9" s="34">
        <v>24</v>
      </c>
      <c r="Z9" s="34">
        <v>25</v>
      </c>
    </row>
    <row r="10" spans="1:27" s="6" customFormat="1" ht="40.5" customHeight="1" x14ac:dyDescent="0.25">
      <c r="A10" s="26"/>
      <c r="B10" s="26"/>
      <c r="C10" s="45"/>
      <c r="D10" s="45"/>
      <c r="E10" s="26"/>
      <c r="F10" s="46"/>
      <c r="G10" s="46"/>
      <c r="H10" s="47"/>
      <c r="I10" s="47"/>
      <c r="J10" s="47"/>
      <c r="K10" s="48"/>
      <c r="L10" s="49" t="s">
        <v>33</v>
      </c>
      <c r="M10" s="49" t="s">
        <v>34</v>
      </c>
      <c r="N10" s="50" t="s">
        <v>7</v>
      </c>
      <c r="O10" s="47"/>
      <c r="P10" s="46"/>
      <c r="Q10" s="51"/>
      <c r="R10" s="52" t="s">
        <v>33</v>
      </c>
      <c r="S10" s="52" t="s">
        <v>35</v>
      </c>
      <c r="T10" s="53" t="s">
        <v>7</v>
      </c>
      <c r="U10" s="47" t="s">
        <v>47</v>
      </c>
      <c r="V10" s="47" t="s">
        <v>51</v>
      </c>
      <c r="W10" s="46"/>
      <c r="X10" s="46"/>
      <c r="Y10" s="45" t="s">
        <v>49</v>
      </c>
      <c r="Z10" s="45" t="s">
        <v>50</v>
      </c>
      <c r="AA10" s="5"/>
    </row>
    <row r="11" spans="1:27" x14ac:dyDescent="0.25">
      <c r="A11" s="63">
        <v>1</v>
      </c>
      <c r="B11" s="18" t="s">
        <v>8</v>
      </c>
      <c r="C11" s="109">
        <v>1899107</v>
      </c>
      <c r="D11" s="110">
        <v>24213715.699999999</v>
      </c>
      <c r="E11" s="54"/>
      <c r="F11" s="55">
        <f>D11/D23*E23</f>
        <v>25525701.905252393</v>
      </c>
      <c r="G11" s="110">
        <f>C11*13%*100+5</f>
        <v>24688396</v>
      </c>
      <c r="H11" s="110">
        <v>13009000</v>
      </c>
      <c r="I11" s="56"/>
      <c r="J11" s="55">
        <f>H11/H23*I23</f>
        <v>10035374.255933695</v>
      </c>
      <c r="K11" s="110">
        <v>9878400</v>
      </c>
      <c r="L11" s="110">
        <v>1760000</v>
      </c>
      <c r="M11" s="111">
        <v>7592000</v>
      </c>
      <c r="N11" s="57">
        <f>L11+M11</f>
        <v>9352000</v>
      </c>
      <c r="O11" s="58"/>
      <c r="P11" s="56">
        <f>N11/N23*O23</f>
        <v>9656172.2111866176</v>
      </c>
      <c r="Q11" s="59"/>
      <c r="R11" s="110">
        <v>1878500</v>
      </c>
      <c r="S11" s="111">
        <v>7951000</v>
      </c>
      <c r="T11" s="45">
        <f>R11+S11</f>
        <v>9829500</v>
      </c>
      <c r="U11" s="60">
        <f>F11+P11+J11</f>
        <v>45217248.372372709</v>
      </c>
      <c r="V11" s="60">
        <f t="shared" ref="V11:V22" si="0">T11+K11+G11</f>
        <v>44396296</v>
      </c>
      <c r="W11" s="18">
        <v>16466</v>
      </c>
      <c r="X11" s="112">
        <v>1104740</v>
      </c>
      <c r="Y11" s="60">
        <f>U11+X11</f>
        <v>46321988.372372709</v>
      </c>
      <c r="Z11" s="61">
        <f>SUM(Y11/W11)/(Y23/W23)</f>
        <v>1.0757732309570476</v>
      </c>
      <c r="AA11" s="7"/>
    </row>
    <row r="12" spans="1:27" x14ac:dyDescent="0.25">
      <c r="A12" s="63">
        <v>2</v>
      </c>
      <c r="B12" s="18" t="s">
        <v>9</v>
      </c>
      <c r="C12" s="109">
        <v>33573</v>
      </c>
      <c r="D12" s="110">
        <v>469086.4</v>
      </c>
      <c r="E12" s="54"/>
      <c r="F12" s="55">
        <f>D12/D23*E23</f>
        <v>494503.18829868751</v>
      </c>
      <c r="G12" s="110">
        <f>C12*13%*100+1</f>
        <v>436450</v>
      </c>
      <c r="H12" s="110">
        <v>170000</v>
      </c>
      <c r="I12" s="56"/>
      <c r="J12" s="55">
        <f>H12/H23*I23</f>
        <v>131141.02725103602</v>
      </c>
      <c r="K12" s="110">
        <v>178400</v>
      </c>
      <c r="L12" s="110">
        <v>268000</v>
      </c>
      <c r="M12" s="110">
        <v>143000</v>
      </c>
      <c r="N12" s="57">
        <f t="shared" ref="N12:N22" si="1">L12+M12</f>
        <v>411000</v>
      </c>
      <c r="O12" s="58"/>
      <c r="P12" s="56">
        <f>N12/N23*O23</f>
        <v>424367.70517511759</v>
      </c>
      <c r="Q12" s="59"/>
      <c r="R12" s="110">
        <v>338300</v>
      </c>
      <c r="S12" s="110">
        <v>146000</v>
      </c>
      <c r="T12" s="45">
        <f t="shared" ref="T12:T22" si="2">R12+S12</f>
        <v>484300</v>
      </c>
      <c r="U12" s="60">
        <f t="shared" ref="U12:U21" si="3">F12+P12+J12</f>
        <v>1050011.9207248413</v>
      </c>
      <c r="V12" s="60">
        <f t="shared" si="0"/>
        <v>1099150</v>
      </c>
      <c r="W12" s="14">
        <v>941</v>
      </c>
      <c r="X12" s="112">
        <v>63130</v>
      </c>
      <c r="Y12" s="60">
        <f t="shared" ref="Y12:Y22" si="4">U12+X12</f>
        <v>1113141.9207248413</v>
      </c>
      <c r="Z12" s="61">
        <f>SUM(Y12/W12)/(Y23/W23)</f>
        <v>0.45235830307423008</v>
      </c>
      <c r="AA12" s="7"/>
    </row>
    <row r="13" spans="1:27" x14ac:dyDescent="0.25">
      <c r="A13" s="63">
        <v>3</v>
      </c>
      <c r="B13" s="18" t="s">
        <v>10</v>
      </c>
      <c r="C13" s="109">
        <v>43229</v>
      </c>
      <c r="D13" s="110">
        <v>436616.9</v>
      </c>
      <c r="E13" s="54"/>
      <c r="F13" s="55">
        <f>D13/D23*E23</f>
        <v>460274.37400676985</v>
      </c>
      <c r="G13" s="110">
        <f>C13*13%*100+2</f>
        <v>561979</v>
      </c>
      <c r="H13" s="110">
        <v>351000</v>
      </c>
      <c r="I13" s="56"/>
      <c r="J13" s="55">
        <f>H13/H23*I23</f>
        <v>270767.65038302151</v>
      </c>
      <c r="K13" s="110">
        <v>264000</v>
      </c>
      <c r="L13" s="110">
        <v>160000</v>
      </c>
      <c r="M13" s="110">
        <v>63000</v>
      </c>
      <c r="N13" s="57">
        <f t="shared" si="1"/>
        <v>223000</v>
      </c>
      <c r="O13" s="58"/>
      <c r="P13" s="56">
        <f>N13/N23*O23</f>
        <v>230253.03711447987</v>
      </c>
      <c r="Q13" s="59"/>
      <c r="R13" s="110">
        <v>173400</v>
      </c>
      <c r="S13" s="110">
        <v>64000</v>
      </c>
      <c r="T13" s="45">
        <f t="shared" si="2"/>
        <v>237400</v>
      </c>
      <c r="U13" s="60">
        <f t="shared" si="3"/>
        <v>961295.06150427111</v>
      </c>
      <c r="V13" s="60">
        <f t="shared" si="0"/>
        <v>1063379</v>
      </c>
      <c r="W13" s="14">
        <v>1106</v>
      </c>
      <c r="X13" s="112">
        <v>74200</v>
      </c>
      <c r="Y13" s="60">
        <f t="shared" si="4"/>
        <v>1035495.0615042711</v>
      </c>
      <c r="Z13" s="61">
        <f>SUM(Y13/W13)/(Y23/W23)</f>
        <v>0.35802599154001813</v>
      </c>
      <c r="AA13" s="7"/>
    </row>
    <row r="14" spans="1:27" x14ac:dyDescent="0.25">
      <c r="A14" s="63">
        <v>4</v>
      </c>
      <c r="B14" s="18" t="s">
        <v>11</v>
      </c>
      <c r="C14" s="109">
        <v>105923</v>
      </c>
      <c r="D14" s="110">
        <v>931222.8</v>
      </c>
      <c r="E14" s="54"/>
      <c r="F14" s="55">
        <f>D14/D23*E23</f>
        <v>981679.80060055258</v>
      </c>
      <c r="G14" s="110">
        <f t="shared" ref="G14:G19" si="5">C14*13%*100</f>
        <v>1376999</v>
      </c>
      <c r="H14" s="110">
        <v>278000</v>
      </c>
      <c r="I14" s="56"/>
      <c r="J14" s="55">
        <f>H14/H23*I23</f>
        <v>214454.15044581189</v>
      </c>
      <c r="K14" s="110">
        <v>239200</v>
      </c>
      <c r="L14" s="110">
        <v>442000</v>
      </c>
      <c r="M14" s="110">
        <v>5444000</v>
      </c>
      <c r="N14" s="57">
        <f t="shared" si="1"/>
        <v>5886000</v>
      </c>
      <c r="O14" s="58"/>
      <c r="P14" s="56">
        <f>N14/N23*O23</f>
        <v>6077441.150026137</v>
      </c>
      <c r="Q14" s="59"/>
      <c r="R14" s="110">
        <v>460700</v>
      </c>
      <c r="S14" s="110">
        <v>5553000</v>
      </c>
      <c r="T14" s="45">
        <f t="shared" si="2"/>
        <v>6013700</v>
      </c>
      <c r="U14" s="60">
        <f t="shared" si="3"/>
        <v>7273575.1010725014</v>
      </c>
      <c r="V14" s="60">
        <f t="shared" si="0"/>
        <v>7629899</v>
      </c>
      <c r="W14" s="14">
        <v>1233</v>
      </c>
      <c r="X14" s="112">
        <v>82720</v>
      </c>
      <c r="Y14" s="60">
        <f t="shared" si="4"/>
        <v>7356295.1010725014</v>
      </c>
      <c r="Z14" s="61">
        <f>SUM(Y14/W14)/(Y23/W23)</f>
        <v>2.2814855233005833</v>
      </c>
      <c r="AA14" s="7"/>
    </row>
    <row r="15" spans="1:27" x14ac:dyDescent="0.25">
      <c r="A15" s="63">
        <v>5</v>
      </c>
      <c r="B15" s="18" t="s">
        <v>12</v>
      </c>
      <c r="C15" s="109">
        <v>79493</v>
      </c>
      <c r="D15" s="110">
        <v>889403.7</v>
      </c>
      <c r="E15" s="54"/>
      <c r="F15" s="55">
        <f>D15/D23*E23</f>
        <v>937594.7913532547</v>
      </c>
      <c r="G15" s="110">
        <f>C15*13%*100+6</f>
        <v>1033415</v>
      </c>
      <c r="H15" s="110">
        <v>337000</v>
      </c>
      <c r="I15" s="56"/>
      <c r="J15" s="55">
        <f>H15/H23*I23</f>
        <v>259967.80107999497</v>
      </c>
      <c r="K15" s="110">
        <v>308000</v>
      </c>
      <c r="L15" s="110">
        <v>402000</v>
      </c>
      <c r="M15" s="110">
        <v>147000</v>
      </c>
      <c r="N15" s="57">
        <f t="shared" si="1"/>
        <v>549000</v>
      </c>
      <c r="O15" s="58"/>
      <c r="P15" s="56">
        <f>N15/N23*O23</f>
        <v>566856.13173026661</v>
      </c>
      <c r="Q15" s="59"/>
      <c r="R15" s="110">
        <v>422450</v>
      </c>
      <c r="S15" s="110">
        <v>150000</v>
      </c>
      <c r="T15" s="45">
        <f t="shared" si="2"/>
        <v>572450</v>
      </c>
      <c r="U15" s="60">
        <f t="shared" si="3"/>
        <v>1764418.7241635164</v>
      </c>
      <c r="V15" s="60">
        <f t="shared" si="0"/>
        <v>1913865</v>
      </c>
      <c r="W15" s="14">
        <v>1383</v>
      </c>
      <c r="X15" s="112">
        <v>92790</v>
      </c>
      <c r="Y15" s="60">
        <f t="shared" si="4"/>
        <v>1857208.7241635164</v>
      </c>
      <c r="Z15" s="61">
        <f>SUM(Y15/W15)/(Y23/W23)</f>
        <v>0.51352333852162246</v>
      </c>
      <c r="AA15" s="7"/>
    </row>
    <row r="16" spans="1:27" x14ac:dyDescent="0.25">
      <c r="A16" s="63">
        <v>6</v>
      </c>
      <c r="B16" s="18" t="s">
        <v>13</v>
      </c>
      <c r="C16" s="109">
        <v>34144</v>
      </c>
      <c r="D16" s="110">
        <v>375306</v>
      </c>
      <c r="E16" s="54"/>
      <c r="F16" s="55">
        <f>D16/D23*E23</f>
        <v>395641.42892999505</v>
      </c>
      <c r="G16" s="110">
        <f>C16*13%*100-2</f>
        <v>443870</v>
      </c>
      <c r="H16" s="110">
        <v>108000</v>
      </c>
      <c r="I16" s="56"/>
      <c r="J16" s="55">
        <f>H16/H23*I23</f>
        <v>83313.123194775835</v>
      </c>
      <c r="K16" s="110">
        <v>76000</v>
      </c>
      <c r="L16" s="110">
        <v>242000</v>
      </c>
      <c r="M16" s="110">
        <v>8896000</v>
      </c>
      <c r="N16" s="57">
        <f t="shared" si="1"/>
        <v>9138000</v>
      </c>
      <c r="O16" s="58"/>
      <c r="P16" s="56">
        <f>N16/N23*O23</f>
        <v>9435211.8975431267</v>
      </c>
      <c r="Q16" s="59"/>
      <c r="R16" s="110">
        <v>277950</v>
      </c>
      <c r="S16" s="110">
        <v>9095000</v>
      </c>
      <c r="T16" s="45">
        <f t="shared" si="2"/>
        <v>9372950</v>
      </c>
      <c r="U16" s="60">
        <f t="shared" si="3"/>
        <v>9914166.4496678989</v>
      </c>
      <c r="V16" s="60">
        <f t="shared" si="0"/>
        <v>9892820</v>
      </c>
      <c r="W16" s="14">
        <v>866</v>
      </c>
      <c r="X16" s="112">
        <v>58100</v>
      </c>
      <c r="Y16" s="60">
        <f t="shared" si="4"/>
        <v>9972266.4496678989</v>
      </c>
      <c r="Z16" s="61">
        <f>SUM(Y16/W16)/(Y23/W23)</f>
        <v>4.4034962726176765</v>
      </c>
      <c r="AA16" s="7"/>
    </row>
    <row r="17" spans="1:27" x14ac:dyDescent="0.25">
      <c r="A17" s="63">
        <v>7</v>
      </c>
      <c r="B17" s="18" t="s">
        <v>14</v>
      </c>
      <c r="C17" s="109">
        <v>25127</v>
      </c>
      <c r="D17" s="110">
        <v>329122.3</v>
      </c>
      <c r="E17" s="54"/>
      <c r="F17" s="55">
        <f>D17/D23*E23</f>
        <v>346955.32995669264</v>
      </c>
      <c r="G17" s="110">
        <f>C17*13%*100+1</f>
        <v>326652</v>
      </c>
      <c r="H17" s="110">
        <v>179000</v>
      </c>
      <c r="I17" s="56"/>
      <c r="J17" s="55">
        <f>H17/H23*I23</f>
        <v>138083.78751726737</v>
      </c>
      <c r="K17" s="110">
        <v>126400</v>
      </c>
      <c r="L17" s="110">
        <v>362000</v>
      </c>
      <c r="M17" s="110">
        <v>36000</v>
      </c>
      <c r="N17" s="57">
        <f t="shared" si="1"/>
        <v>398000</v>
      </c>
      <c r="O17" s="58"/>
      <c r="P17" s="56">
        <f>N17/N23*O23</f>
        <v>410944.88238369056</v>
      </c>
      <c r="Q17" s="59"/>
      <c r="R17" s="110">
        <v>363800</v>
      </c>
      <c r="S17" s="110">
        <v>40000</v>
      </c>
      <c r="T17" s="45">
        <f t="shared" si="2"/>
        <v>403800</v>
      </c>
      <c r="U17" s="60">
        <f t="shared" si="3"/>
        <v>895983.9998576506</v>
      </c>
      <c r="V17" s="60">
        <f t="shared" si="0"/>
        <v>856852</v>
      </c>
      <c r="W17" s="14">
        <v>989</v>
      </c>
      <c r="X17" s="112">
        <v>66360</v>
      </c>
      <c r="Y17" s="60">
        <f t="shared" si="4"/>
        <v>962343.9998576506</v>
      </c>
      <c r="Z17" s="61">
        <f>SUM(Y17/W17)/(Y23/W23)</f>
        <v>0.37209660060686389</v>
      </c>
      <c r="AA17" s="7"/>
    </row>
    <row r="18" spans="1:27" x14ac:dyDescent="0.25">
      <c r="A18" s="63">
        <v>8</v>
      </c>
      <c r="B18" s="18" t="s">
        <v>15</v>
      </c>
      <c r="C18" s="109">
        <v>247396</v>
      </c>
      <c r="D18" s="110">
        <v>2930437.8</v>
      </c>
      <c r="E18" s="54"/>
      <c r="F18" s="55">
        <f>D18/D23*E23</f>
        <v>3089219.4598073862</v>
      </c>
      <c r="G18" s="110">
        <f>C18*13%*100-3</f>
        <v>3216145</v>
      </c>
      <c r="H18" s="110">
        <v>274000</v>
      </c>
      <c r="I18" s="56"/>
      <c r="J18" s="55">
        <f>H18/H23*I23</f>
        <v>211368.47921637574</v>
      </c>
      <c r="K18" s="110">
        <v>205600</v>
      </c>
      <c r="L18" s="110">
        <v>504000</v>
      </c>
      <c r="M18" s="110">
        <v>234000</v>
      </c>
      <c r="N18" s="57">
        <f t="shared" si="1"/>
        <v>738000</v>
      </c>
      <c r="O18" s="58"/>
      <c r="P18" s="56">
        <f>N18/N23*O23</f>
        <v>762003.32462101406</v>
      </c>
      <c r="Q18" s="59"/>
      <c r="R18" s="110">
        <v>475150</v>
      </c>
      <c r="S18" s="110">
        <v>246000</v>
      </c>
      <c r="T18" s="45">
        <f t="shared" si="2"/>
        <v>721150</v>
      </c>
      <c r="U18" s="60">
        <f t="shared" si="3"/>
        <v>4062591.2636447758</v>
      </c>
      <c r="V18" s="60">
        <f t="shared" si="0"/>
        <v>4142895</v>
      </c>
      <c r="W18" s="14">
        <v>1373</v>
      </c>
      <c r="X18" s="112">
        <v>92120</v>
      </c>
      <c r="Y18" s="60">
        <f t="shared" si="4"/>
        <v>4154711.2636447758</v>
      </c>
      <c r="Z18" s="61">
        <f>SUM(Y18/W18)/(Y23/W23)</f>
        <v>1.1571561325181441</v>
      </c>
      <c r="AA18" s="7"/>
    </row>
    <row r="19" spans="1:27" x14ac:dyDescent="0.25">
      <c r="A19" s="63">
        <v>9</v>
      </c>
      <c r="B19" s="18" t="s">
        <v>16</v>
      </c>
      <c r="C19" s="109">
        <v>33764</v>
      </c>
      <c r="D19" s="110">
        <v>386022.7</v>
      </c>
      <c r="E19" s="54"/>
      <c r="F19" s="55">
        <f>D19/D23*E23</f>
        <v>406938.79828037595</v>
      </c>
      <c r="G19" s="110">
        <f t="shared" si="5"/>
        <v>438932</v>
      </c>
      <c r="H19" s="110">
        <v>240000</v>
      </c>
      <c r="I19" s="56"/>
      <c r="J19" s="55">
        <f>H19/H23*I23</f>
        <v>185140.27376616854</v>
      </c>
      <c r="K19" s="110">
        <v>205600</v>
      </c>
      <c r="L19" s="110">
        <v>526000</v>
      </c>
      <c r="M19" s="110">
        <v>125000</v>
      </c>
      <c r="N19" s="57">
        <f t="shared" si="1"/>
        <v>651000</v>
      </c>
      <c r="O19" s="58"/>
      <c r="P19" s="56">
        <f>N19/N23*O23</f>
        <v>672173.6644014637</v>
      </c>
      <c r="Q19" s="59"/>
      <c r="R19" s="110">
        <v>520200</v>
      </c>
      <c r="S19" s="110">
        <v>133000</v>
      </c>
      <c r="T19" s="45">
        <f t="shared" si="2"/>
        <v>653200</v>
      </c>
      <c r="U19" s="60">
        <f t="shared" si="3"/>
        <v>1264252.7364480083</v>
      </c>
      <c r="V19" s="60">
        <f t="shared" si="0"/>
        <v>1297732</v>
      </c>
      <c r="W19" s="14">
        <v>1727</v>
      </c>
      <c r="X19" s="112">
        <v>115870</v>
      </c>
      <c r="Y19" s="60">
        <f t="shared" si="4"/>
        <v>1380122.7364480083</v>
      </c>
      <c r="Z19" s="61">
        <f>SUM(Y19/W19)/(Y23/W23)</f>
        <v>0.30559554881326662</v>
      </c>
      <c r="AA19" s="7"/>
    </row>
    <row r="20" spans="1:27" x14ac:dyDescent="0.25">
      <c r="A20" s="63">
        <v>10</v>
      </c>
      <c r="B20" s="18" t="s">
        <v>17</v>
      </c>
      <c r="C20" s="109">
        <v>123699</v>
      </c>
      <c r="D20" s="110">
        <v>1450088.7</v>
      </c>
      <c r="E20" s="54"/>
      <c r="F20" s="55">
        <f>D20/D23*E23</f>
        <v>1528659.7212494307</v>
      </c>
      <c r="G20" s="110">
        <f>C20*13%*100+2</f>
        <v>1608089</v>
      </c>
      <c r="H20" s="110">
        <v>329000</v>
      </c>
      <c r="I20" s="56"/>
      <c r="J20" s="55">
        <f>H20/H23*I23</f>
        <v>253796.4586211227</v>
      </c>
      <c r="K20" s="110">
        <v>263200</v>
      </c>
      <c r="L20" s="110">
        <v>481000</v>
      </c>
      <c r="M20" s="110">
        <v>102000</v>
      </c>
      <c r="N20" s="57">
        <f t="shared" si="1"/>
        <v>583000</v>
      </c>
      <c r="O20" s="58"/>
      <c r="P20" s="56">
        <f>N20/N23*O23</f>
        <v>601961.97595399898</v>
      </c>
      <c r="Q20" s="59"/>
      <c r="R20" s="110">
        <v>490450</v>
      </c>
      <c r="S20" s="110">
        <v>112000</v>
      </c>
      <c r="T20" s="45">
        <f t="shared" si="2"/>
        <v>602450</v>
      </c>
      <c r="U20" s="60">
        <f t="shared" si="3"/>
        <v>2384418.1558245523</v>
      </c>
      <c r="V20" s="60">
        <f t="shared" si="0"/>
        <v>2473739</v>
      </c>
      <c r="W20" s="14">
        <v>1919</v>
      </c>
      <c r="X20" s="112">
        <v>128750</v>
      </c>
      <c r="Y20" s="60">
        <f t="shared" si="4"/>
        <v>2513168.1558245523</v>
      </c>
      <c r="Z20" s="61">
        <f>SUM(Y20/W20)/(Y23/W23)</f>
        <v>0.5008045022955262</v>
      </c>
      <c r="AA20" s="7"/>
    </row>
    <row r="21" spans="1:27" x14ac:dyDescent="0.25">
      <c r="A21" s="63">
        <v>11</v>
      </c>
      <c r="B21" s="18" t="s">
        <v>18</v>
      </c>
      <c r="C21" s="109">
        <v>62105</v>
      </c>
      <c r="D21" s="110">
        <v>594748.69999999995</v>
      </c>
      <c r="E21" s="54"/>
      <c r="F21" s="55">
        <f>D21/D23*E23</f>
        <v>626974.32367789722</v>
      </c>
      <c r="G21" s="110">
        <f>C21*13%*100+5</f>
        <v>807370</v>
      </c>
      <c r="H21" s="110">
        <v>225000</v>
      </c>
      <c r="I21" s="56"/>
      <c r="J21" s="55">
        <f>H21/H23*I23</f>
        <v>173569.00665578299</v>
      </c>
      <c r="K21" s="110">
        <v>191200</v>
      </c>
      <c r="L21" s="110">
        <v>259000</v>
      </c>
      <c r="M21" s="110">
        <v>135000</v>
      </c>
      <c r="N21" s="57">
        <f t="shared" si="1"/>
        <v>394000</v>
      </c>
      <c r="O21" s="58"/>
      <c r="P21" s="56">
        <f>N21/N23*O23</f>
        <v>406814.78306325141</v>
      </c>
      <c r="Q21" s="59"/>
      <c r="R21" s="110">
        <v>258400</v>
      </c>
      <c r="S21" s="110">
        <v>139000</v>
      </c>
      <c r="T21" s="45">
        <f t="shared" si="2"/>
        <v>397400</v>
      </c>
      <c r="U21" s="60">
        <f t="shared" si="3"/>
        <v>1207358.1133969317</v>
      </c>
      <c r="V21" s="60">
        <f t="shared" si="0"/>
        <v>1395970</v>
      </c>
      <c r="W21" s="14">
        <v>1333</v>
      </c>
      <c r="X21" s="112">
        <v>89430</v>
      </c>
      <c r="Y21" s="60">
        <f t="shared" si="4"/>
        <v>1296788.1133969317</v>
      </c>
      <c r="Z21" s="61">
        <f>SUM(Y21/W21)/(Y23/W23)</f>
        <v>0.37201506113555699</v>
      </c>
      <c r="AA21" s="7"/>
    </row>
    <row r="22" spans="1:27" x14ac:dyDescent="0.25">
      <c r="A22" s="63">
        <v>12</v>
      </c>
      <c r="B22" s="18" t="s">
        <v>19</v>
      </c>
      <c r="C22" s="109">
        <v>55778</v>
      </c>
      <c r="D22" s="110">
        <v>824586.8</v>
      </c>
      <c r="E22" s="54"/>
      <c r="F22" s="55">
        <f>D22/D23*E23</f>
        <v>869265.87858657213</v>
      </c>
      <c r="G22" s="110">
        <f>C22*13%*100-2</f>
        <v>725112</v>
      </c>
      <c r="H22" s="110">
        <v>426000</v>
      </c>
      <c r="I22" s="56"/>
      <c r="J22" s="55">
        <f>H22/H23*I23</f>
        <v>328623.98593494913</v>
      </c>
      <c r="K22" s="110">
        <v>349600</v>
      </c>
      <c r="L22" s="110">
        <v>272000</v>
      </c>
      <c r="M22" s="110">
        <v>100000</v>
      </c>
      <c r="N22" s="57">
        <f t="shared" si="1"/>
        <v>372000</v>
      </c>
      <c r="O22" s="58"/>
      <c r="P22" s="56">
        <f>N22/N23*O23</f>
        <v>384099.23680083634</v>
      </c>
      <c r="Q22" s="59"/>
      <c r="R22" s="110">
        <v>238000</v>
      </c>
      <c r="S22" s="110">
        <v>102000</v>
      </c>
      <c r="T22" s="45">
        <f t="shared" si="2"/>
        <v>340000</v>
      </c>
      <c r="U22" s="60">
        <f>F22+P22+U27</f>
        <v>1253365.1153874085</v>
      </c>
      <c r="V22" s="60">
        <f t="shared" si="0"/>
        <v>1414712</v>
      </c>
      <c r="W22" s="14">
        <v>982</v>
      </c>
      <c r="X22" s="112">
        <v>65890</v>
      </c>
      <c r="Y22" s="60">
        <f t="shared" si="4"/>
        <v>1319255.1153874085</v>
      </c>
      <c r="Z22" s="61">
        <f>SUM(Y22/W22)/(Y23/W23)</f>
        <v>0.51373475823451742</v>
      </c>
      <c r="AA22" s="7"/>
    </row>
    <row r="23" spans="1:27" s="69" customFormat="1" ht="16.5" customHeight="1" x14ac:dyDescent="0.25">
      <c r="A23" s="113"/>
      <c r="B23" s="66" t="s">
        <v>7</v>
      </c>
      <c r="C23" s="62">
        <f>SUM(C11:C22)</f>
        <v>2743338</v>
      </c>
      <c r="D23" s="62">
        <f>SUM(D11:D22)</f>
        <v>33830358.499999993</v>
      </c>
      <c r="E23" s="114">
        <v>35663409</v>
      </c>
      <c r="F23" s="62">
        <f>SUM(F11:F22)</f>
        <v>35663409.000000007</v>
      </c>
      <c r="G23" s="62">
        <f>SUM(G11:G22)</f>
        <v>35663409</v>
      </c>
      <c r="H23" s="62">
        <f t="shared" ref="H23:K23" si="6">SUM(H11:H22)</f>
        <v>15926000</v>
      </c>
      <c r="I23" s="62">
        <v>12285600</v>
      </c>
      <c r="J23" s="62">
        <f>SUM(J11:J22)</f>
        <v>12285600.000000002</v>
      </c>
      <c r="K23" s="62">
        <f t="shared" si="6"/>
        <v>12285600</v>
      </c>
      <c r="L23" s="67">
        <f t="shared" ref="L23:N23" si="7">SUM(L11:L22)</f>
        <v>5678000</v>
      </c>
      <c r="M23" s="67">
        <f t="shared" si="7"/>
        <v>23017000</v>
      </c>
      <c r="N23" s="67">
        <f t="shared" si="7"/>
        <v>28695000</v>
      </c>
      <c r="O23" s="114">
        <v>29628300</v>
      </c>
      <c r="P23" s="62">
        <f t="shared" ref="P23" si="8">SUM(P11:P22)</f>
        <v>29628300</v>
      </c>
      <c r="Q23" s="66"/>
      <c r="R23" s="62">
        <f t="shared" ref="R23:Y23" si="9">SUM(R11:R22)</f>
        <v>5897300</v>
      </c>
      <c r="S23" s="62">
        <f t="shared" si="9"/>
        <v>23731000</v>
      </c>
      <c r="T23" s="62">
        <f t="shared" si="9"/>
        <v>29628300</v>
      </c>
      <c r="U23" s="62">
        <f>SUM(U11:U22)</f>
        <v>77248685.014065057</v>
      </c>
      <c r="V23" s="62">
        <f t="shared" si="9"/>
        <v>77577309</v>
      </c>
      <c r="W23" s="113">
        <f t="shared" ref="W23" si="10">SUM(W11:W22)</f>
        <v>30318</v>
      </c>
      <c r="X23" s="67">
        <f>SUM(X11:X22)</f>
        <v>2034100</v>
      </c>
      <c r="Y23" s="62">
        <f t="shared" si="9"/>
        <v>79282785.014065057</v>
      </c>
      <c r="Z23" s="67">
        <f>SUM(Y23/W23)/(Y23/W23)</f>
        <v>1</v>
      </c>
      <c r="AA23" s="68"/>
    </row>
    <row r="24" spans="1:27" x14ac:dyDescent="0.25">
      <c r="A24" s="18"/>
      <c r="B24" s="18"/>
      <c r="C24" s="58"/>
      <c r="D24" s="58"/>
      <c r="E24" s="18"/>
      <c r="F24" s="18"/>
      <c r="G24" s="18"/>
      <c r="H24" s="18"/>
      <c r="I24" s="18"/>
      <c r="J24" s="18"/>
      <c r="K24" s="18"/>
      <c r="L24" s="33"/>
      <c r="M24" s="33"/>
      <c r="N24" s="33"/>
      <c r="O24" s="18"/>
      <c r="P24" s="18"/>
      <c r="Q24" s="18"/>
      <c r="R24" s="18"/>
      <c r="S24" s="18"/>
      <c r="T24" s="18"/>
      <c r="U24" s="18"/>
      <c r="V24" s="18"/>
      <c r="W24" s="63"/>
      <c r="X24" s="63"/>
      <c r="Y24" s="63"/>
      <c r="Z24" s="63"/>
    </row>
    <row r="25" spans="1:27" x14ac:dyDescent="0.25">
      <c r="A25" s="14"/>
      <c r="B25" s="14"/>
      <c r="C25" s="27"/>
      <c r="D25" s="2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28"/>
      <c r="X25" s="28"/>
      <c r="Y25" s="28"/>
      <c r="Z25" s="28"/>
    </row>
    <row r="26" spans="1:27" x14ac:dyDescent="0.25">
      <c r="L26" s="29"/>
      <c r="M26" s="29"/>
      <c r="N26" s="29"/>
      <c r="X26" s="19"/>
      <c r="Y26" s="19"/>
      <c r="Z26" s="19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opLeftCell="C1" zoomScaleNormal="100" workbookViewId="0">
      <selection activeCell="E36" sqref="E36"/>
    </sheetView>
  </sheetViews>
  <sheetFormatPr defaultRowHeight="15" x14ac:dyDescent="0.25"/>
  <cols>
    <col min="1" max="1" width="23" style="3" customWidth="1"/>
    <col min="2" max="2" width="13.140625" style="3" customWidth="1"/>
    <col min="3" max="3" width="12.28515625" style="3" customWidth="1"/>
    <col min="4" max="4" width="13.85546875" style="3" customWidth="1"/>
    <col min="5" max="5" width="10.28515625" style="3" customWidth="1"/>
    <col min="6" max="6" width="13.140625" style="3" customWidth="1"/>
    <col min="7" max="8" width="9.85546875" style="3" customWidth="1"/>
    <col min="9" max="9" width="9.7109375" style="3" bestFit="1" customWidth="1"/>
    <col min="10" max="10" width="13.7109375" style="3" customWidth="1"/>
    <col min="11" max="11" width="14.42578125" style="3" customWidth="1"/>
    <col min="12" max="12" width="17.28515625" style="3" customWidth="1"/>
    <col min="13" max="13" width="11.7109375" style="3" customWidth="1"/>
    <col min="14" max="14" width="16.7109375" style="3" customWidth="1"/>
    <col min="15" max="15" width="20.28515625" style="3" customWidth="1"/>
    <col min="16" max="16384" width="9.140625" style="3"/>
  </cols>
  <sheetData>
    <row r="1" spans="1:15" s="11" customFormat="1" x14ac:dyDescent="0.25"/>
    <row r="2" spans="1:15" s="11" customFormat="1" ht="18.75" x14ac:dyDescent="0.3">
      <c r="B2" s="115" t="s">
        <v>73</v>
      </c>
      <c r="C2" s="115"/>
      <c r="D2" s="115"/>
      <c r="E2" s="115"/>
      <c r="F2" s="115"/>
    </row>
    <row r="3" spans="1:15" s="11" customFormat="1" x14ac:dyDescent="0.25"/>
    <row r="4" spans="1:15" s="11" customFormat="1" x14ac:dyDescent="0.25">
      <c r="O4" s="116" t="s">
        <v>70</v>
      </c>
    </row>
    <row r="5" spans="1:15" s="11" customFormat="1" ht="15" customHeight="1" x14ac:dyDescent="0.25">
      <c r="A5" s="90"/>
      <c r="B5" s="103" t="s">
        <v>0</v>
      </c>
      <c r="C5" s="117" t="s">
        <v>1</v>
      </c>
      <c r="D5" s="118"/>
      <c r="E5" s="117" t="s">
        <v>20</v>
      </c>
      <c r="F5" s="118"/>
      <c r="G5" s="117" t="s">
        <v>2</v>
      </c>
      <c r="H5" s="119"/>
      <c r="I5" s="119"/>
      <c r="J5" s="118"/>
      <c r="K5" s="120" t="s">
        <v>56</v>
      </c>
      <c r="L5" s="120"/>
      <c r="M5" s="120"/>
      <c r="N5" s="120"/>
      <c r="O5" s="88" t="s">
        <v>61</v>
      </c>
    </row>
    <row r="6" spans="1:15" s="121" customFormat="1" ht="114.75" customHeight="1" x14ac:dyDescent="0.25">
      <c r="A6" s="91"/>
      <c r="B6" s="104"/>
      <c r="C6" s="16" t="s">
        <v>3</v>
      </c>
      <c r="D6" s="16" t="s">
        <v>4</v>
      </c>
      <c r="E6" s="16" t="s">
        <v>22</v>
      </c>
      <c r="F6" s="16" t="s">
        <v>21</v>
      </c>
      <c r="G6" s="17" t="s">
        <v>5</v>
      </c>
      <c r="H6" s="17" t="s">
        <v>6</v>
      </c>
      <c r="I6" s="17" t="s">
        <v>27</v>
      </c>
      <c r="J6" s="17" t="s">
        <v>23</v>
      </c>
      <c r="K6" s="17" t="s">
        <v>52</v>
      </c>
      <c r="L6" s="17" t="s">
        <v>53</v>
      </c>
      <c r="M6" s="17" t="s">
        <v>54</v>
      </c>
      <c r="N6" s="17" t="s">
        <v>55</v>
      </c>
      <c r="O6" s="88"/>
    </row>
    <row r="7" spans="1:15" s="121" customFormat="1" ht="27.75" customHeight="1" x14ac:dyDescent="0.25">
      <c r="A7" s="80"/>
      <c r="B7" s="75"/>
      <c r="C7" s="16"/>
      <c r="D7" s="16"/>
      <c r="E7" s="15"/>
      <c r="F7" s="72"/>
      <c r="G7" s="17"/>
      <c r="H7" s="17"/>
      <c r="I7" s="17"/>
      <c r="J7" s="17"/>
      <c r="K7" s="122"/>
      <c r="L7" s="122"/>
      <c r="M7" s="15"/>
      <c r="N7" s="15"/>
      <c r="O7" s="15"/>
    </row>
    <row r="8" spans="1:15" s="121" customFormat="1" x14ac:dyDescent="0.25">
      <c r="A8" s="15"/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>
        <v>6</v>
      </c>
      <c r="H8" s="15">
        <v>7</v>
      </c>
      <c r="I8" s="15">
        <v>8</v>
      </c>
      <c r="J8" s="15">
        <v>9</v>
      </c>
      <c r="K8" s="15">
        <v>10</v>
      </c>
      <c r="L8" s="15">
        <v>11</v>
      </c>
      <c r="M8" s="15">
        <v>12</v>
      </c>
      <c r="N8" s="15">
        <v>13</v>
      </c>
      <c r="O8" s="15">
        <v>14</v>
      </c>
    </row>
    <row r="9" spans="1:15" s="6" customFormat="1" ht="92.25" customHeight="1" x14ac:dyDescent="0.25">
      <c r="A9" s="1"/>
      <c r="B9" s="1"/>
      <c r="C9" s="1"/>
      <c r="D9" s="1"/>
      <c r="E9" s="1"/>
      <c r="F9" s="1"/>
      <c r="G9" s="15" t="s">
        <v>72</v>
      </c>
      <c r="H9" s="15" t="s">
        <v>24</v>
      </c>
      <c r="I9" s="15" t="s">
        <v>25</v>
      </c>
      <c r="J9" s="15" t="s">
        <v>26</v>
      </c>
      <c r="K9" s="13" t="s">
        <v>57</v>
      </c>
      <c r="L9" s="13" t="s">
        <v>58</v>
      </c>
      <c r="M9" s="13" t="s">
        <v>59</v>
      </c>
      <c r="N9" s="13" t="s">
        <v>60</v>
      </c>
      <c r="O9" s="26" t="s">
        <v>75</v>
      </c>
    </row>
    <row r="10" spans="1:15" x14ac:dyDescent="0.25">
      <c r="A10" s="14" t="s">
        <v>8</v>
      </c>
      <c r="B10" s="18">
        <v>16466</v>
      </c>
      <c r="C10" s="14">
        <v>281</v>
      </c>
      <c r="D10" s="18">
        <v>13641</v>
      </c>
      <c r="E10" s="18">
        <v>2668.06</v>
      </c>
      <c r="F10" s="18">
        <v>55.1</v>
      </c>
      <c r="G10" s="35">
        <f>0.6+0.4*(B22/12)/B10</f>
        <v>0.66137495445159722</v>
      </c>
      <c r="H10" s="35">
        <f>SUM(C10/B10+1)</f>
        <v>1.0170654682375804</v>
      </c>
      <c r="I10" s="35">
        <f>SUM(D10/B10+1)</f>
        <v>1.8284343495688085</v>
      </c>
      <c r="J10" s="14">
        <f>0.9+0.1*(0.8*E10/E22+0.2*F10/F22)</f>
        <v>1</v>
      </c>
      <c r="K10" s="35">
        <f>SUM(B10*G10/B10)/(B22*G22/B22)</f>
        <v>0.66137495445159722</v>
      </c>
      <c r="L10" s="35">
        <f>SUM(B10*G10*J10/B10)/(B22*G22*J22/B22)</f>
        <v>0.66137495445159722</v>
      </c>
      <c r="M10" s="35">
        <f xml:space="preserve"> SUM(B10*G10*J10/B10)/(B22*G22*J22/B22)</f>
        <v>0.66137495445159722</v>
      </c>
      <c r="N10" s="35">
        <f>SUM(B10*H10*I10/B10)/(B22*H22*I22/B22)</f>
        <v>1.2011167164476328</v>
      </c>
      <c r="O10" s="38">
        <f>SUM(K10*0.183+L10*0.113+M10*0.064+N10*0.64)</f>
        <v>1.00680968212906</v>
      </c>
    </row>
    <row r="11" spans="1:15" x14ac:dyDescent="0.25">
      <c r="A11" s="14" t="s">
        <v>9</v>
      </c>
      <c r="B11" s="14">
        <v>941</v>
      </c>
      <c r="C11" s="14">
        <v>0</v>
      </c>
      <c r="D11" s="2"/>
      <c r="E11" s="18">
        <v>2668.06</v>
      </c>
      <c r="F11" s="18">
        <v>55.1</v>
      </c>
      <c r="G11" s="35">
        <f>0.6+0.4*(B22/12)/B11</f>
        <v>1.6739638682252922</v>
      </c>
      <c r="H11" s="35">
        <f t="shared" ref="H11:H21" si="0">SUM(C11/B11+1)</f>
        <v>1</v>
      </c>
      <c r="I11" s="35">
        <f t="shared" ref="I11:I21" si="1">SUM(D11/B11+1)</f>
        <v>1</v>
      </c>
      <c r="J11" s="14">
        <f>0.9+0.1*(0.8*E11/E22+0.2*F11/F22)</f>
        <v>1</v>
      </c>
      <c r="K11" s="35">
        <f>SUM(B11*G11/B11)/(B22*G22/B22)</f>
        <v>1.6739638682252922</v>
      </c>
      <c r="L11" s="35">
        <f>SUM(B11*G11*J11/B11)/(B22*G22*J22/B22)</f>
        <v>1.6739638682252922</v>
      </c>
      <c r="M11" s="35">
        <f xml:space="preserve"> SUM(B11*G11*J11/B11)/(B22*G22*J22/B22)</f>
        <v>1.6739638682252922</v>
      </c>
      <c r="N11" s="35">
        <f>SUM(B11*H11*I11/B11)/(B22*H22*I22/B22)</f>
        <v>0.64588757570568112</v>
      </c>
      <c r="O11" s="38">
        <f t="shared" ref="O11:O21" si="2">SUM(K11*0.183+L11*0.113+M11*0.064+N11*0.64)</f>
        <v>1.0159950410127412</v>
      </c>
    </row>
    <row r="12" spans="1:15" x14ac:dyDescent="0.25">
      <c r="A12" s="14" t="s">
        <v>10</v>
      </c>
      <c r="B12" s="14">
        <v>1106</v>
      </c>
      <c r="C12" s="14">
        <v>270</v>
      </c>
      <c r="D12" s="2"/>
      <c r="E12" s="18">
        <v>2668.06</v>
      </c>
      <c r="F12" s="18">
        <v>55.1</v>
      </c>
      <c r="G12" s="35">
        <f>0.6+0.4*(B22/12)/B12</f>
        <v>1.5137432188065101</v>
      </c>
      <c r="H12" s="35">
        <f t="shared" si="0"/>
        <v>1.244122965641953</v>
      </c>
      <c r="I12" s="35">
        <f t="shared" si="1"/>
        <v>1</v>
      </c>
      <c r="J12" s="14">
        <f>0.9+0.1*(0.8*E12/E22+0.2*F12/F22)</f>
        <v>1</v>
      </c>
      <c r="K12" s="35">
        <f>SUM(B12*G12/B12)/(B22*G22/B22)</f>
        <v>1.5137432188065101</v>
      </c>
      <c r="L12" s="35">
        <f>SUM(B12*G12*J12/B12)/(B22*G22*J22/B22)</f>
        <v>1.5137432188065101</v>
      </c>
      <c r="M12" s="35">
        <f xml:space="preserve"> SUM(B12*G12*J12/B12)/(B22*G22*J22/B22)</f>
        <v>1.5137432188065101</v>
      </c>
      <c r="N12" s="35">
        <f>SUM(B12*H12*I12/B12)/(B22*H22*I22/B22)</f>
        <v>0.80356356615824343</v>
      </c>
      <c r="O12" s="38">
        <f t="shared" si="2"/>
        <v>1.0592282411116194</v>
      </c>
    </row>
    <row r="13" spans="1:15" x14ac:dyDescent="0.25">
      <c r="A13" s="14" t="s">
        <v>11</v>
      </c>
      <c r="B13" s="14">
        <v>1233</v>
      </c>
      <c r="C13" s="14">
        <v>576</v>
      </c>
      <c r="D13" s="2"/>
      <c r="E13" s="18">
        <v>2668.06</v>
      </c>
      <c r="F13" s="18">
        <v>55.1</v>
      </c>
      <c r="G13" s="35">
        <f>0.6+0.4*(B22/12)/B13</f>
        <v>1.4196269261962693</v>
      </c>
      <c r="H13" s="35">
        <f t="shared" si="0"/>
        <v>1.4671532846715327</v>
      </c>
      <c r="I13" s="35">
        <f t="shared" si="1"/>
        <v>1</v>
      </c>
      <c r="J13" s="14">
        <f>0.9+0.1*(0.8*E13/E22+0.2*F13/F22)</f>
        <v>1</v>
      </c>
      <c r="K13" s="35">
        <f>SUM(B13*G13/B13)/(B22*G22/B22)</f>
        <v>1.4196269261962693</v>
      </c>
      <c r="L13" s="35">
        <f>SUM(B13*G13*J13/B13)/(B22*G22*J22/B22)</f>
        <v>1.4196269261962693</v>
      </c>
      <c r="M13" s="35">
        <f xml:space="preserve"> SUM(B13*G13*J13/B13)/(B22*G22*J22/B22)</f>
        <v>1.4196269261962693</v>
      </c>
      <c r="N13" s="35">
        <f>SUM(B13*H13*I13/B13)/(B22*H22*I22/B22)</f>
        <v>0.94761607822512339</v>
      </c>
      <c r="O13" s="38">
        <f t="shared" si="2"/>
        <v>1.1175399834947359</v>
      </c>
    </row>
    <row r="14" spans="1:15" x14ac:dyDescent="0.25">
      <c r="A14" s="14" t="s">
        <v>12</v>
      </c>
      <c r="B14" s="14">
        <v>1383</v>
      </c>
      <c r="C14" s="18">
        <v>39</v>
      </c>
      <c r="D14" s="2"/>
      <c r="E14" s="18">
        <v>2668.06</v>
      </c>
      <c r="F14" s="18">
        <v>55.1</v>
      </c>
      <c r="G14" s="35">
        <f>0.6+0.4*(B22/12)/B14</f>
        <v>1.3307302964569776</v>
      </c>
      <c r="H14" s="35">
        <f t="shared" si="0"/>
        <v>1.0281995661605206</v>
      </c>
      <c r="I14" s="35">
        <f t="shared" si="1"/>
        <v>1</v>
      </c>
      <c r="J14" s="65">
        <f>0.9+0.1*(0.8*E14/E22+0.2*F14/F22)</f>
        <v>1</v>
      </c>
      <c r="K14" s="35">
        <f>SUM(B14*G14/B14)/(B22*G22/B22)</f>
        <v>1.3307302964569776</v>
      </c>
      <c r="L14" s="35">
        <f>SUM(B14*G14*J14/B14)/(B22*G22*J22/B22)</f>
        <v>1.3307302964569776</v>
      </c>
      <c r="M14" s="35">
        <f xml:space="preserve"> SUM(B14*G14*J14/B14)/(B22*G22*J22/B22)</f>
        <v>1.3307302964569776</v>
      </c>
      <c r="N14" s="35">
        <f>SUM(B14*H14*I14/B14)/(B22*H22*I22/B22)</f>
        <v>0.66410132512905173</v>
      </c>
      <c r="O14" s="38">
        <f t="shared" si="2"/>
        <v>0.90408775480710502</v>
      </c>
    </row>
    <row r="15" spans="1:15" x14ac:dyDescent="0.25">
      <c r="A15" s="14" t="s">
        <v>13</v>
      </c>
      <c r="B15" s="14">
        <v>866</v>
      </c>
      <c r="C15" s="14">
        <v>35</v>
      </c>
      <c r="D15" s="2"/>
      <c r="E15" s="18">
        <v>2668.06</v>
      </c>
      <c r="F15" s="18">
        <v>55.1</v>
      </c>
      <c r="G15" s="35">
        <f>0.6+0.4*(B22/12)/B15</f>
        <v>1.7669745958429561</v>
      </c>
      <c r="H15" s="35">
        <f t="shared" si="0"/>
        <v>1.0404157043879907</v>
      </c>
      <c r="I15" s="35">
        <f t="shared" si="1"/>
        <v>1</v>
      </c>
      <c r="J15" s="14">
        <f>0.9+0.1*(0.8*E15/E22+0.2*F15/F22)</f>
        <v>1</v>
      </c>
      <c r="K15" s="35">
        <f>SUM(B15*G15/B15)/(B22*G22/B22)</f>
        <v>1.7669745958429561</v>
      </c>
      <c r="L15" s="35">
        <f>SUM(B15*G15*J15/B15)/(B22*G22*J22/B22)</f>
        <v>1.7669745958429561</v>
      </c>
      <c r="M15" s="35">
        <f xml:space="preserve"> SUM(B15*G15*J15/B15)/(B22*G22*J22/B22)</f>
        <v>1.7669745958429561</v>
      </c>
      <c r="N15" s="35">
        <f>SUM(B15*H15*I15/B15)/(B22*H22*I22/B22)</f>
        <v>0.67199157703327794</v>
      </c>
      <c r="O15" s="38">
        <f t="shared" si="2"/>
        <v>1.0661854638047621</v>
      </c>
    </row>
    <row r="16" spans="1:15" x14ac:dyDescent="0.25">
      <c r="A16" s="14" t="s">
        <v>14</v>
      </c>
      <c r="B16" s="14">
        <v>989</v>
      </c>
      <c r="C16" s="14">
        <v>209</v>
      </c>
      <c r="D16" s="2"/>
      <c r="E16" s="18">
        <v>2668.06</v>
      </c>
      <c r="F16" s="18">
        <v>55.1</v>
      </c>
      <c r="G16" s="35">
        <f>0.6+0.4*(B22/12)/B16</f>
        <v>1.621840242669363</v>
      </c>
      <c r="H16" s="35">
        <f t="shared" si="0"/>
        <v>1.2113245702730031</v>
      </c>
      <c r="I16" s="35">
        <f t="shared" si="1"/>
        <v>1</v>
      </c>
      <c r="J16" s="14">
        <f>0.9+0.1*(0.8*E16/E22+0.2*F16/F22)</f>
        <v>1</v>
      </c>
      <c r="K16" s="35">
        <f>SUM(B16*G16/B16)/(B22*G22/B22)</f>
        <v>1.621840242669363</v>
      </c>
      <c r="L16" s="35">
        <f>SUM(B16*G16*J16/B16)/(B22*G22*J22/B22)</f>
        <v>1.621840242669363</v>
      </c>
      <c r="M16" s="35">
        <f xml:space="preserve"> SUM(B16*G16*J16/B16)/(B22*G22*J22/B22)</f>
        <v>1.621840242669363</v>
      </c>
      <c r="N16" s="35">
        <f>SUM(B16*H16*I16/B16)/(B22*H22*I22/B22)</f>
        <v>0.78237949008635599</v>
      </c>
      <c r="O16" s="38">
        <f t="shared" si="2"/>
        <v>1.0845853610162384</v>
      </c>
    </row>
    <row r="17" spans="1:15" x14ac:dyDescent="0.25">
      <c r="A17" s="14" t="s">
        <v>15</v>
      </c>
      <c r="B17" s="14">
        <v>1373</v>
      </c>
      <c r="C17" s="14">
        <v>116</v>
      </c>
      <c r="D17" s="2"/>
      <c r="E17" s="18">
        <v>2668.06</v>
      </c>
      <c r="F17" s="18">
        <v>55.1</v>
      </c>
      <c r="G17" s="35">
        <f>0.6+0.4*(B22/12)/B17</f>
        <v>1.3360524399126001</v>
      </c>
      <c r="H17" s="35">
        <f t="shared" si="0"/>
        <v>1.0844865258557903</v>
      </c>
      <c r="I17" s="35">
        <f t="shared" si="1"/>
        <v>1</v>
      </c>
      <c r="J17" s="14">
        <f>0.9+0.1*(0.8*E17/E22+0.2*F17/F22)</f>
        <v>1</v>
      </c>
      <c r="K17" s="35">
        <f>SUM(B17*G17/B17)/(B22*G22/B22)</f>
        <v>1.3360524399126001</v>
      </c>
      <c r="L17" s="35">
        <f>SUM(B17*G17*J17/B17)/(B22*G22*J22/B22)</f>
        <v>1.3360524399126001</v>
      </c>
      <c r="M17" s="35">
        <f xml:space="preserve"> SUM(B17*G17*J17/B17)/(B22*G22*J22/B22)</f>
        <v>1.3360524399126001</v>
      </c>
      <c r="N17" s="35">
        <f>SUM(B17*H17*I17/B17)/(B22*H22*I22/B22)</f>
        <v>0.70045637307047293</v>
      </c>
      <c r="O17" s="38">
        <f t="shared" si="2"/>
        <v>0.92927095713363872</v>
      </c>
    </row>
    <row r="18" spans="1:15" x14ac:dyDescent="0.25">
      <c r="A18" s="14" t="s">
        <v>16</v>
      </c>
      <c r="B18" s="14">
        <v>1727</v>
      </c>
      <c r="C18" s="14">
        <v>506</v>
      </c>
      <c r="D18" s="2"/>
      <c r="E18" s="18">
        <v>2668.06</v>
      </c>
      <c r="F18" s="18">
        <v>55.1</v>
      </c>
      <c r="G18" s="35">
        <f>0.6+0.4*(B22/12)/B18</f>
        <v>1.1851766068326577</v>
      </c>
      <c r="H18" s="35">
        <f t="shared" si="0"/>
        <v>1.2929936305732483</v>
      </c>
      <c r="I18" s="35">
        <f t="shared" si="1"/>
        <v>1</v>
      </c>
      <c r="J18" s="14">
        <f>0.9+0.1*(0.8*E18/E22+0.2*F18/F22)</f>
        <v>1</v>
      </c>
      <c r="K18" s="35">
        <f>SUM(B18*G18/B18)/(B22*G22/B22)</f>
        <v>1.1851766068326577</v>
      </c>
      <c r="L18" s="35">
        <f>SUM(B18*G18*J18/B18)/(B22*G22*J22/B22)</f>
        <v>1.1851766068326577</v>
      </c>
      <c r="M18" s="35">
        <f xml:space="preserve"> SUM(B18*G18*J18/B18)/(B22*G22*J22/B22)</f>
        <v>1.1851766068326577</v>
      </c>
      <c r="N18" s="35">
        <f>SUM(B18*H18*I18/B18)/(B22*H22*I22/B22)</f>
        <v>0.83512852145384242</v>
      </c>
      <c r="O18" s="38">
        <f t="shared" si="2"/>
        <v>0.96114583219021599</v>
      </c>
    </row>
    <row r="19" spans="1:15" x14ac:dyDescent="0.25">
      <c r="A19" s="14" t="s">
        <v>17</v>
      </c>
      <c r="B19" s="14">
        <v>1919</v>
      </c>
      <c r="C19" s="14">
        <v>0</v>
      </c>
      <c r="D19" s="2"/>
      <c r="E19" s="18">
        <v>2668.06</v>
      </c>
      <c r="F19" s="18">
        <v>55.1</v>
      </c>
      <c r="G19" s="35">
        <f>0.6+0.4*(B22/12)/B19</f>
        <v>1.1266284523189161</v>
      </c>
      <c r="H19" s="35">
        <f t="shared" si="0"/>
        <v>1</v>
      </c>
      <c r="I19" s="35">
        <f t="shared" si="1"/>
        <v>1</v>
      </c>
      <c r="J19" s="14">
        <f>0.9+0.1*(0.8*E19/E22+0.2*F19/F22)</f>
        <v>1</v>
      </c>
      <c r="K19" s="35">
        <f>SUM(B19*G19/B19)/(B22*G22/B22)</f>
        <v>1.1266284523189161</v>
      </c>
      <c r="L19" s="35">
        <f>SUM(B19*G19*J19/B19)/(B22*G22*J22/B22)</f>
        <v>1.1266284523189161</v>
      </c>
      <c r="M19" s="35">
        <f xml:space="preserve"> SUM(B19*G19*J19/B19)/(B22*G22*J22/B22)</f>
        <v>1.1266284523189161</v>
      </c>
      <c r="N19" s="35">
        <f>SUM(B19*H19*I19/B19)/(B22*H22*I22/B22)</f>
        <v>0.64588757570568112</v>
      </c>
      <c r="O19" s="38">
        <f t="shared" si="2"/>
        <v>0.8189542912864457</v>
      </c>
    </row>
    <row r="20" spans="1:15" x14ac:dyDescent="0.25">
      <c r="A20" s="14" t="s">
        <v>18</v>
      </c>
      <c r="B20" s="14">
        <v>1333</v>
      </c>
      <c r="C20" s="18">
        <v>6</v>
      </c>
      <c r="D20" s="2"/>
      <c r="E20" s="18">
        <v>2668.06</v>
      </c>
      <c r="F20" s="18">
        <v>55.1</v>
      </c>
      <c r="G20" s="35">
        <f>0.6+0.4*(B22/12)/B20</f>
        <v>1.3581395348837209</v>
      </c>
      <c r="H20" s="35">
        <f t="shared" si="0"/>
        <v>1.0045011252813203</v>
      </c>
      <c r="I20" s="35">
        <f t="shared" si="1"/>
        <v>1</v>
      </c>
      <c r="J20" s="14">
        <f>0.9+0.1*(0.8*E20/E22+0.2*F20/F22)</f>
        <v>1</v>
      </c>
      <c r="K20" s="35">
        <f>SUM(B20*G20/B20)/(B22*G22/B22)</f>
        <v>1.3581395348837209</v>
      </c>
      <c r="L20" s="35">
        <f>SUM(B20*G20*J20/B20)/(B22*G22*J22/B22)</f>
        <v>1.3581395348837209</v>
      </c>
      <c r="M20" s="35">
        <f xml:space="preserve"> SUM(B20*G20*J20/B20)/(B22*G22*J22/B22)</f>
        <v>1.3581395348837209</v>
      </c>
      <c r="N20" s="35">
        <f>SUM(B20*H20*I20/B20)/(B22*H22*I22/B22)</f>
        <v>0.64879479660158068</v>
      </c>
      <c r="O20" s="38">
        <f t="shared" si="2"/>
        <v>0.90415890238315122</v>
      </c>
    </row>
    <row r="21" spans="1:15" x14ac:dyDescent="0.25">
      <c r="A21" s="14" t="s">
        <v>19</v>
      </c>
      <c r="B21" s="14">
        <v>982</v>
      </c>
      <c r="C21" s="14">
        <v>18</v>
      </c>
      <c r="D21" s="2"/>
      <c r="E21" s="18">
        <v>2668.06</v>
      </c>
      <c r="F21" s="18">
        <v>55.1</v>
      </c>
      <c r="G21" s="35">
        <f>0.6+0.4*(B22/12)/B21</f>
        <v>1.629124236252546</v>
      </c>
      <c r="H21" s="35">
        <f t="shared" si="0"/>
        <v>1.0183299389002036</v>
      </c>
      <c r="I21" s="35">
        <f t="shared" si="1"/>
        <v>1</v>
      </c>
      <c r="J21" s="14">
        <f>0.9+0.1*(0.8*E21/E22+0.2*F21/F22)</f>
        <v>1</v>
      </c>
      <c r="K21" s="35">
        <f>SUM(B21*G21/B21)/(B22*G22/B22)</f>
        <v>1.629124236252546</v>
      </c>
      <c r="L21" s="35">
        <f>SUM(B21*G21*J21/B21)/(B22*G22*J22/B22)</f>
        <v>1.629124236252546</v>
      </c>
      <c r="M21" s="35">
        <f xml:space="preserve"> SUM(B21*G21*J21/B21)/(B22*G22*J22/B22)</f>
        <v>1.629124236252546</v>
      </c>
      <c r="N21" s="35">
        <f>SUM(B21*H21*I21/B21)/(B22*H22*I22/B22)</f>
        <v>0.65772665550476694</v>
      </c>
      <c r="O21" s="38">
        <f t="shared" si="2"/>
        <v>1.0074297845739673</v>
      </c>
    </row>
    <row r="22" spans="1:15" s="123" customFormat="1" ht="16.5" customHeight="1" x14ac:dyDescent="0.25">
      <c r="A22" s="14" t="s">
        <v>7</v>
      </c>
      <c r="B22" s="32">
        <f t="shared" ref="B22:D22" si="3">SUM(B10:B21)</f>
        <v>30318</v>
      </c>
      <c r="C22" s="32">
        <f t="shared" si="3"/>
        <v>2056</v>
      </c>
      <c r="D22" s="33">
        <f t="shared" si="3"/>
        <v>13641</v>
      </c>
      <c r="E22" s="18">
        <v>2668.06</v>
      </c>
      <c r="F22" s="18">
        <v>55.1</v>
      </c>
      <c r="G22" s="35">
        <v>1</v>
      </c>
      <c r="H22" s="35">
        <f>SUM(C22/B22+1)</f>
        <v>1.0678144996371792</v>
      </c>
      <c r="I22" s="36">
        <f>SUM(D22/B22+1)</f>
        <v>1.4499307342172967</v>
      </c>
      <c r="J22" s="14">
        <f>0.9+0.1*(0.8*E22/E22+0.2*F22/F22)</f>
        <v>1</v>
      </c>
      <c r="K22" s="35">
        <f>SUM(B22*G22/B22)/(B22*G22/B22)</f>
        <v>1</v>
      </c>
      <c r="L22" s="35">
        <f>SUM(B22*G22*J22/B22)/(B22*G22*J22/B22)</f>
        <v>1</v>
      </c>
      <c r="M22" s="35">
        <f xml:space="preserve"> SUM(B22*G22*J22/B22)/(B22*G22*J22/B22)</f>
        <v>1</v>
      </c>
      <c r="N22" s="35">
        <f>SUM(B22*H22*I22/B22)/(B22*H22*I22/B22)</f>
        <v>1</v>
      </c>
      <c r="O22" s="38">
        <f t="shared" ref="O22" si="4">SUM(K22*0.305+L22*0.154+M22*0.101+N22*0.44)</f>
        <v>1</v>
      </c>
    </row>
    <row r="23" spans="1:15" x14ac:dyDescent="0.25">
      <c r="A23" s="14"/>
      <c r="B23" s="14"/>
      <c r="C23" s="2"/>
      <c r="D23" s="2"/>
      <c r="E23" s="2"/>
      <c r="F23" s="2"/>
      <c r="G23" s="37"/>
      <c r="H23" s="2"/>
      <c r="I23" s="30"/>
      <c r="J23" s="2"/>
      <c r="K23" s="2"/>
      <c r="L23" s="2"/>
      <c r="M23" s="2"/>
      <c r="N23" s="2"/>
      <c r="O23" s="38"/>
    </row>
    <row r="24" spans="1:15" x14ac:dyDescent="0.25">
      <c r="A24" s="14"/>
      <c r="B24" s="14"/>
      <c r="C24" s="18"/>
      <c r="D24" s="2"/>
      <c r="E24" s="2"/>
      <c r="F24" s="2"/>
      <c r="G24" s="2"/>
      <c r="H24" s="2"/>
      <c r="I24" s="30"/>
      <c r="J24" s="2"/>
      <c r="K24" s="2"/>
      <c r="L24" s="2"/>
      <c r="M24" s="2"/>
      <c r="N24" s="2"/>
      <c r="O24" s="38"/>
    </row>
    <row r="25" spans="1:15" x14ac:dyDescent="0.25">
      <c r="I25" s="31"/>
      <c r="O25" s="39"/>
    </row>
    <row r="26" spans="1:15" x14ac:dyDescent="0.25">
      <c r="O26" s="39"/>
    </row>
    <row r="27" spans="1:1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O27" s="39"/>
    </row>
    <row r="28" spans="1:15" x14ac:dyDescent="0.25">
      <c r="A28" s="20" t="s">
        <v>62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O28" s="39"/>
    </row>
    <row r="29" spans="1:1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O29" s="39"/>
    </row>
    <row r="30" spans="1:15" x14ac:dyDescent="0.25">
      <c r="A30" s="105" t="s">
        <v>63</v>
      </c>
      <c r="B30" s="105"/>
      <c r="C30" s="38">
        <v>0.183</v>
      </c>
      <c r="D30" s="64"/>
      <c r="E30" s="20"/>
      <c r="F30" s="20"/>
      <c r="G30" s="20"/>
      <c r="H30" s="20"/>
      <c r="I30" s="20"/>
      <c r="J30" s="20"/>
      <c r="K30" s="20"/>
      <c r="O30" s="39"/>
    </row>
    <row r="31" spans="1:15" x14ac:dyDescent="0.25">
      <c r="A31" s="105" t="s">
        <v>64</v>
      </c>
      <c r="B31" s="105"/>
      <c r="C31" s="38">
        <v>0.113</v>
      </c>
      <c r="D31" s="64"/>
      <c r="E31" s="20"/>
      <c r="F31" s="20"/>
      <c r="G31" s="20"/>
      <c r="H31" s="20"/>
      <c r="I31" s="20"/>
      <c r="J31" s="20"/>
      <c r="K31" s="20"/>
      <c r="O31" s="39"/>
    </row>
    <row r="32" spans="1:15" x14ac:dyDescent="0.25">
      <c r="A32" s="105" t="s">
        <v>65</v>
      </c>
      <c r="B32" s="105"/>
      <c r="C32" s="38">
        <v>6.4000000000000001E-2</v>
      </c>
      <c r="D32" s="64"/>
      <c r="E32" s="20"/>
      <c r="F32" s="20"/>
      <c r="G32" s="20"/>
      <c r="H32" s="20"/>
      <c r="I32" s="20"/>
      <c r="J32" s="20"/>
      <c r="K32" s="20"/>
      <c r="O32" s="39"/>
    </row>
    <row r="33" spans="1:15" x14ac:dyDescent="0.25">
      <c r="A33" s="105" t="s">
        <v>66</v>
      </c>
      <c r="B33" s="105"/>
      <c r="C33" s="38">
        <v>0.64</v>
      </c>
      <c r="D33" s="64"/>
      <c r="E33" s="20"/>
      <c r="F33" s="20"/>
      <c r="G33" s="20"/>
      <c r="H33" s="20"/>
      <c r="I33" s="20"/>
      <c r="J33" s="20"/>
      <c r="K33" s="20"/>
      <c r="O33" s="29"/>
    </row>
    <row r="34" spans="1:15" x14ac:dyDescent="0.25">
      <c r="D34" s="76"/>
      <c r="O34" s="29"/>
    </row>
  </sheetData>
  <mergeCells count="11">
    <mergeCell ref="A30:B30"/>
    <mergeCell ref="A31:B31"/>
    <mergeCell ref="A32:B32"/>
    <mergeCell ref="A33:B33"/>
    <mergeCell ref="K5:N5"/>
    <mergeCell ref="O5:O6"/>
    <mergeCell ref="A5:A6"/>
    <mergeCell ref="B5:B6"/>
    <mergeCell ref="E5:F5"/>
    <mergeCell ref="G5:J5"/>
    <mergeCell ref="C5:D5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2024-10-30T10:35:46Z</dcterms:modified>
</cp:coreProperties>
</file>