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0FFDECD-25B4-4924-989D-1EE42051AF1E}" xr6:coauthVersionLast="45" xr6:coauthVersionMax="45" xr10:uidLastSave="{00000000-0000-0000-0000-000000000000}"/>
  <bookViews>
    <workbookView xWindow="-120" yWindow="-120" windowWidth="19440" windowHeight="15000" tabRatio="602" activeTab="2" xr2:uid="{00000000-000D-0000-FFFF-FFFF00000000}"/>
  </bookViews>
  <sheets>
    <sheet name="БО" sheetId="6" r:id="rId1"/>
    <sheet name="ИДП" sheetId="3" r:id="rId2"/>
    <sheet name="ИБР" sheetId="1" r:id="rId3"/>
  </sheets>
  <definedNames>
    <definedName name="_xlnm.Print_Area" localSheetId="0">БО!$A$1:$H$27</definedName>
    <definedName name="_xlnm.Print_Area" localSheetId="2">ИБР!$A$1:$O$40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6" l="1"/>
  <c r="G12" i="6"/>
  <c r="G22" i="6"/>
  <c r="G16" i="6"/>
  <c r="G18" i="6"/>
  <c r="G20" i="6"/>
  <c r="G22" i="3" l="1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C14" i="3"/>
  <c r="W23" i="3" l="1"/>
  <c r="F11" i="6"/>
  <c r="D22" i="1" l="1"/>
  <c r="C22" i="1"/>
  <c r="B22" i="1"/>
  <c r="H17" i="1" l="1"/>
  <c r="H22" i="6" l="1"/>
  <c r="J10" i="1" l="1"/>
  <c r="I10" i="1"/>
  <c r="H10" i="1"/>
  <c r="F22" i="6" l="1"/>
  <c r="B22" i="6"/>
  <c r="F21" i="6"/>
  <c r="F20" i="6"/>
  <c r="F19" i="6"/>
  <c r="F18" i="6"/>
  <c r="F17" i="6"/>
  <c r="F16" i="6"/>
  <c r="F15" i="6"/>
  <c r="F14" i="6"/>
  <c r="F13" i="6"/>
  <c r="F12" i="6"/>
  <c r="F10" i="6"/>
  <c r="C23" i="3" l="1"/>
  <c r="X23" i="3"/>
  <c r="D23" i="3" l="1"/>
  <c r="S23" i="3" l="1"/>
  <c r="R23" i="3"/>
  <c r="M23" i="3"/>
  <c r="L23" i="3"/>
  <c r="K23" i="3"/>
  <c r="H23" i="3"/>
  <c r="T22" i="3"/>
  <c r="N22" i="3"/>
  <c r="T21" i="3"/>
  <c r="N21" i="3"/>
  <c r="T20" i="3"/>
  <c r="N20" i="3"/>
  <c r="T19" i="3"/>
  <c r="N19" i="3"/>
  <c r="T18" i="3"/>
  <c r="V18" i="3" s="1"/>
  <c r="N18" i="3"/>
  <c r="T17" i="3"/>
  <c r="N17" i="3"/>
  <c r="T16" i="3"/>
  <c r="N16" i="3"/>
  <c r="T15" i="3"/>
  <c r="N15" i="3"/>
  <c r="T14" i="3"/>
  <c r="N14" i="3"/>
  <c r="T13" i="3"/>
  <c r="N13" i="3"/>
  <c r="T12" i="3"/>
  <c r="N12" i="3"/>
  <c r="T11" i="3"/>
  <c r="N11" i="3"/>
  <c r="J22" i="3" l="1"/>
  <c r="J18" i="3"/>
  <c r="J14" i="3"/>
  <c r="J11" i="3"/>
  <c r="J21" i="3"/>
  <c r="J17" i="3"/>
  <c r="J13" i="3"/>
  <c r="J20" i="3"/>
  <c r="J16" i="3"/>
  <c r="J12" i="3"/>
  <c r="J19" i="3"/>
  <c r="J15" i="3"/>
  <c r="T23" i="3"/>
  <c r="N23" i="3"/>
  <c r="P12" i="3" s="1"/>
  <c r="J23" i="3" l="1"/>
  <c r="U12" i="3"/>
  <c r="P21" i="3"/>
  <c r="U21" i="3" s="1"/>
  <c r="P19" i="3"/>
  <c r="U19" i="3" s="1"/>
  <c r="P17" i="3"/>
  <c r="U17" i="3" s="1"/>
  <c r="P15" i="3"/>
  <c r="U15" i="3" s="1"/>
  <c r="P13" i="3"/>
  <c r="U13" i="3" s="1"/>
  <c r="P11" i="3"/>
  <c r="U11" i="3" s="1"/>
  <c r="P22" i="3"/>
  <c r="U22" i="3" s="1"/>
  <c r="P20" i="3"/>
  <c r="U20" i="3" s="1"/>
  <c r="P18" i="3"/>
  <c r="U18" i="3" s="1"/>
  <c r="P16" i="3"/>
  <c r="U16" i="3" s="1"/>
  <c r="P14" i="3"/>
  <c r="U14" i="3" s="1"/>
  <c r="V22" i="3"/>
  <c r="V20" i="3"/>
  <c r="V16" i="3"/>
  <c r="V14" i="3"/>
  <c r="V12" i="3"/>
  <c r="V21" i="3"/>
  <c r="V19" i="3"/>
  <c r="V17" i="3"/>
  <c r="V15" i="3"/>
  <c r="V13" i="3"/>
  <c r="G23" i="3"/>
  <c r="V11" i="3"/>
  <c r="F23" i="3"/>
  <c r="P23" i="3" l="1"/>
  <c r="U23" i="3"/>
  <c r="V23" i="3"/>
  <c r="J22" i="1" l="1"/>
  <c r="J21" i="1"/>
  <c r="J20" i="1"/>
  <c r="J19" i="1"/>
  <c r="J17" i="1"/>
  <c r="J18" i="1"/>
  <c r="J16" i="1"/>
  <c r="J15" i="1"/>
  <c r="J14" i="1"/>
  <c r="J13" i="1"/>
  <c r="J12" i="1"/>
  <c r="J11" i="1"/>
  <c r="H21" i="1"/>
  <c r="H20" i="1"/>
  <c r="H19" i="1"/>
  <c r="H18" i="1"/>
  <c r="H16" i="1"/>
  <c r="H15" i="1"/>
  <c r="H14" i="1"/>
  <c r="H13" i="1"/>
  <c r="H12" i="1"/>
  <c r="H11" i="1"/>
  <c r="G14" i="1" l="1"/>
  <c r="G10" i="1"/>
  <c r="I22" i="1"/>
  <c r="G21" i="1"/>
  <c r="M21" i="1" s="1"/>
  <c r="G13" i="1"/>
  <c r="K13" i="1" s="1"/>
  <c r="G17" i="1"/>
  <c r="K22" i="1"/>
  <c r="M22" i="1"/>
  <c r="L22" i="1"/>
  <c r="G20" i="1"/>
  <c r="K20" i="1" s="1"/>
  <c r="G11" i="1"/>
  <c r="G15" i="1"/>
  <c r="G19" i="1"/>
  <c r="H22" i="1"/>
  <c r="G12" i="1"/>
  <c r="G16" i="1"/>
  <c r="G18" i="1"/>
  <c r="O22" i="1" l="1"/>
  <c r="N10" i="1"/>
  <c r="M10" i="1"/>
  <c r="L10" i="1"/>
  <c r="O10" i="1" s="1"/>
  <c r="K10" i="1"/>
  <c r="N22" i="1"/>
  <c r="L21" i="1"/>
  <c r="O21" i="1" s="1"/>
  <c r="N18" i="1"/>
  <c r="K17" i="1"/>
  <c r="M17" i="1"/>
  <c r="L17" i="1"/>
  <c r="O17" i="1" s="1"/>
  <c r="L14" i="1"/>
  <c r="O14" i="1" s="1"/>
  <c r="M14" i="1"/>
  <c r="L13" i="1"/>
  <c r="O13" i="1" s="1"/>
  <c r="N17" i="1"/>
  <c r="K21" i="1"/>
  <c r="M13" i="1"/>
  <c r="K18" i="1"/>
  <c r="M18" i="1"/>
  <c r="L18" i="1"/>
  <c r="O18" i="1" s="1"/>
  <c r="K14" i="1"/>
  <c r="M15" i="1"/>
  <c r="L15" i="1"/>
  <c r="O15" i="1" s="1"/>
  <c r="K15" i="1"/>
  <c r="K16" i="1"/>
  <c r="M16" i="1"/>
  <c r="L16" i="1"/>
  <c r="O16" i="1" s="1"/>
  <c r="K12" i="1"/>
  <c r="M12" i="1"/>
  <c r="L12" i="1"/>
  <c r="O12" i="1" s="1"/>
  <c r="M19" i="1"/>
  <c r="L19" i="1"/>
  <c r="O19" i="1" s="1"/>
  <c r="K19" i="1"/>
  <c r="M11" i="1"/>
  <c r="L11" i="1"/>
  <c r="O11" i="1" s="1"/>
  <c r="K11" i="1"/>
  <c r="M20" i="1"/>
  <c r="L20" i="1"/>
  <c r="O20" i="1" s="1"/>
  <c r="N19" i="1"/>
  <c r="N15" i="1"/>
  <c r="N12" i="1"/>
  <c r="N21" i="1"/>
  <c r="N14" i="1"/>
  <c r="N13" i="1"/>
  <c r="N20" i="1"/>
  <c r="N16" i="1"/>
  <c r="N11" i="1"/>
  <c r="Y19" i="3"/>
  <c r="Y17" i="3"/>
  <c r="Y22" i="3"/>
  <c r="Y16" i="3"/>
  <c r="Y18" i="3"/>
  <c r="Y21" i="3"/>
  <c r="Y14" i="3"/>
  <c r="Y15" i="3"/>
  <c r="Y20" i="3"/>
  <c r="Y13" i="3"/>
  <c r="Y11" i="3"/>
  <c r="Y12" i="3"/>
  <c r="Y23" i="3" l="1"/>
  <c r="Z23" i="3" s="1"/>
  <c r="Z11" i="3" l="1"/>
  <c r="Z18" i="3"/>
  <c r="Z14" i="3"/>
  <c r="Z21" i="3"/>
  <c r="Z16" i="3"/>
  <c r="Z12" i="3"/>
  <c r="Z17" i="3"/>
  <c r="Z15" i="3"/>
  <c r="Z19" i="3"/>
  <c r="Z22" i="3"/>
  <c r="Z13" i="3"/>
  <c r="Z20" i="3"/>
</calcChain>
</file>

<file path=xl/sharedStrings.xml><?xml version="1.0" encoding="utf-8"?>
<sst xmlns="http://schemas.openxmlformats.org/spreadsheetml/2006/main" count="120" uniqueCount="87">
  <si>
    <t>Численность постоянного налеления</t>
  </si>
  <si>
    <t>в том числе</t>
  </si>
  <si>
    <t>коэффициенты</t>
  </si>
  <si>
    <t>численность в населенных пунктах менее 500 человек</t>
  </si>
  <si>
    <t xml:space="preserve"> городское население</t>
  </si>
  <si>
    <t>масштаба</t>
  </si>
  <si>
    <t>дисперсности расселения</t>
  </si>
  <si>
    <t>итого</t>
  </si>
  <si>
    <t>МО г. Красный Кут</t>
  </si>
  <si>
    <t>Дьяковское МО</t>
  </si>
  <si>
    <t>Ждановское МО</t>
  </si>
  <si>
    <t>Журавлевское МО</t>
  </si>
  <si>
    <t>Интернациональное МО</t>
  </si>
  <si>
    <t>Комсомольское МО</t>
  </si>
  <si>
    <t>Лавровское МО</t>
  </si>
  <si>
    <t>Лебедевское МО</t>
  </si>
  <si>
    <t>Логиновское МО</t>
  </si>
  <si>
    <t>Первомайское МО</t>
  </si>
  <si>
    <t>Усатовское МО</t>
  </si>
  <si>
    <t>Чкаловское МО</t>
  </si>
  <si>
    <t>прогноз тарифов на ЖКУ</t>
  </si>
  <si>
    <t xml:space="preserve"> стоимость  1 куб. м. воды в месяц, руб</t>
  </si>
  <si>
    <t>стоимость тепла за 1 Гкал а месяц, руб</t>
  </si>
  <si>
    <t>стоимости коммунальных услуг</t>
  </si>
  <si>
    <t>7=1+ гр.2/гр1</t>
  </si>
  <si>
    <t>8=1+ гр.3/гр. 1</t>
  </si>
  <si>
    <t>9=0,9+0,1*(0,8*гр4/Σгр.4+0,2*гр.5/Σгр.5)</t>
  </si>
  <si>
    <t>уровеня урбанизации</t>
  </si>
  <si>
    <t>Поселения района</t>
  </si>
  <si>
    <t>НДФЛ</t>
  </si>
  <si>
    <t>№</t>
  </si>
  <si>
    <t>прогноз НДФЛ, отчисления 10%</t>
  </si>
  <si>
    <t>прогноз  всего</t>
  </si>
  <si>
    <t>физические лица</t>
  </si>
  <si>
    <t xml:space="preserve">юридические лица </t>
  </si>
  <si>
    <t>организации</t>
  </si>
  <si>
    <t>Дотация  поселению из бюджета муниципального района за счет субвенций из областного бюджета</t>
  </si>
  <si>
    <t xml:space="preserve">Доходный потенциал </t>
  </si>
  <si>
    <t>Индекс доходного потенциала</t>
  </si>
  <si>
    <t>Бюджетная обеспеченность</t>
  </si>
  <si>
    <t xml:space="preserve">Индекс  бюджетных расходов </t>
  </si>
  <si>
    <t>Прогноз доходов  бюджетов поселений</t>
  </si>
  <si>
    <t>Дотация на выравнивания бюджетной обеспеченности поселений</t>
  </si>
  <si>
    <t>Потенциал НДФЛ, 10%</t>
  </si>
  <si>
    <t>Налог на имущество</t>
  </si>
  <si>
    <t>Прогноз налога</t>
  </si>
  <si>
    <t xml:space="preserve">Налоговый потенциал </t>
  </si>
  <si>
    <t>20=гр16+гр10+гр6</t>
  </si>
  <si>
    <t>Численность постоянного населения</t>
  </si>
  <si>
    <t>24=гр.23+20</t>
  </si>
  <si>
    <t xml:space="preserve">30=(гр.24/гр.22)/(Σгр.24/Σгр.22) </t>
  </si>
  <si>
    <t>26=гр.6+гр.10+гр.16</t>
  </si>
  <si>
    <t xml:space="preserve"> Местное самоуправление</t>
  </si>
  <si>
    <t xml:space="preserve">  культура</t>
  </si>
  <si>
    <t xml:space="preserve">  физическая культура и спорт</t>
  </si>
  <si>
    <t xml:space="preserve"> прочие расходы</t>
  </si>
  <si>
    <t xml:space="preserve"> отраслевые индексы бюджетных расходов</t>
  </si>
  <si>
    <t>10= (гр1*гр.6/гр.1)/(Σ(1*гр.6)/Σгр.1)</t>
  </si>
  <si>
    <t>11=(гр1*гр.6*гр.9/гр.1)/(Σ(1*гр.6*гр.9)/Σгр.1)</t>
  </si>
  <si>
    <t>12=(гр1*гр.6*гр.9/гр.1)/(Σ(1*гр.6*гр.9)/Σгр.1)</t>
  </si>
  <si>
    <t>13=(гр.1*гр.7*гр.8/гр.1)/(Σ(гр.1*гр.7*гр.8)/(Σгр.1)</t>
  </si>
  <si>
    <t>Сводный индекс бюджетных расходов</t>
  </si>
  <si>
    <t>Доля  расходов в составе  репрезентативной системы расходов в  планируемом году по всем поселениям входящим в состав муниципального района</t>
  </si>
  <si>
    <t xml:space="preserve"> местное самоуправление</t>
  </si>
  <si>
    <t xml:space="preserve"> культура</t>
  </si>
  <si>
    <t>спорт</t>
  </si>
  <si>
    <t>прочие расходы</t>
  </si>
  <si>
    <t xml:space="preserve">налоговый потенциал всего </t>
  </si>
  <si>
    <t>руб.</t>
  </si>
  <si>
    <t xml:space="preserve"> ( руб.)</t>
  </si>
  <si>
    <t>( руб)</t>
  </si>
  <si>
    <t>Потребность в средствах для выравнивания  бюджетной обеспеченности  поселений   (руб)</t>
  </si>
  <si>
    <r>
      <t>6=0,6+0,4*(</t>
    </r>
    <r>
      <rPr>
        <b/>
        <sz val="11"/>
        <color theme="1"/>
        <rFont val="Calibri"/>
        <family val="2"/>
        <charset val="204"/>
      </rPr>
      <t>Σгр.</t>
    </r>
    <r>
      <rPr>
        <b/>
        <sz val="11"/>
        <color theme="1"/>
        <rFont val="Calibri"/>
        <family val="2"/>
        <charset val="204"/>
        <scheme val="minor"/>
      </rPr>
      <t>1/12)/гр.1</t>
    </r>
  </si>
  <si>
    <t xml:space="preserve"> Расчет индекса  бюджетных расходов поселений Краснокутского  района на 2027год</t>
  </si>
  <si>
    <t xml:space="preserve">   Расчет распределения на 2027 год дотации на выравнивания бюджетной обеспеченности поселений Краснокутского района</t>
  </si>
  <si>
    <t>были</t>
  </si>
  <si>
    <t>14=гр.10*0,248+гр.11*0,120+гр.12*0,129+гр.13*0,503</t>
  </si>
  <si>
    <t xml:space="preserve">Прогноз налога на доходы физических лиц на 2027 год,    руб        </t>
  </si>
  <si>
    <t>Расчет индекса доходного потенциала поселений Краснокутского района на 2027 год</t>
  </si>
  <si>
    <t>Сумма налога к уплате в бюджет  по форме 5-МН за 2023 год.  Рублей</t>
  </si>
  <si>
    <t>ФОТ, прогноз на 2027год, тыс. руб</t>
  </si>
  <si>
    <t>Сумма налога по 5-НДФЛ за 2023 год</t>
  </si>
  <si>
    <t xml:space="preserve">Прогноз налога на имущество физических лиц       на 2027 год,   рублей     </t>
  </si>
  <si>
    <t>Земельный налог, по форме 5-МН за 2023год</t>
  </si>
  <si>
    <t>Прогноз  земельного  налога   на 2027 год</t>
  </si>
  <si>
    <t>Расчет индекса доходного потенциала поселений Краснокутского района на 2027год ( продолжение)</t>
  </si>
  <si>
    <t>5=119485442/30318*(0,4 гр.4)*гр.3*гр.1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</si>
</sst>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4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top" wrapText="1"/>
    </xf>
    <xf numFmtId="0" fontId="0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0" fillId="0" borderId="4" xfId="0" applyFont="1" applyFill="1" applyBorder="1"/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center" wrapText="1"/>
    </xf>
    <xf numFmtId="0" fontId="8" fillId="0" borderId="4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7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7" xfId="0" applyFont="1" applyFill="1" applyBorder="1"/>
    <xf numFmtId="1" fontId="8" fillId="0" borderId="0" xfId="0" applyNumberFormat="1" applyFont="1" applyFill="1"/>
    <xf numFmtId="1" fontId="8" fillId="0" borderId="4" xfId="0" applyNumberFormat="1" applyFont="1" applyFill="1" applyBorder="1"/>
    <xf numFmtId="0" fontId="4" fillId="0" borderId="0" xfId="0" applyFont="1" applyFill="1" applyAlignment="1">
      <alignment wrapText="1"/>
    </xf>
    <xf numFmtId="0" fontId="2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4" xfId="0" applyFont="1" applyFill="1" applyBorder="1"/>
    <xf numFmtId="0" fontId="0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165" fontId="1" fillId="0" borderId="4" xfId="0" applyNumberFormat="1" applyFont="1" applyFill="1" applyBorder="1"/>
    <xf numFmtId="165" fontId="1" fillId="0" borderId="0" xfId="0" applyNumberFormat="1" applyFont="1" applyFill="1"/>
    <xf numFmtId="166" fontId="8" fillId="0" borderId="4" xfId="0" applyNumberFormat="1" applyFont="1" applyFill="1" applyBorder="1"/>
    <xf numFmtId="164" fontId="0" fillId="0" borderId="4" xfId="0" applyNumberFormat="1" applyFont="1" applyFill="1" applyBorder="1"/>
    <xf numFmtId="164" fontId="4" fillId="0" borderId="4" xfId="0" applyNumberFormat="1" applyFont="1" applyFill="1" applyBorder="1"/>
    <xf numFmtId="0" fontId="8" fillId="0" borderId="4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wrapText="1"/>
    </xf>
    <xf numFmtId="0" fontId="1" fillId="0" borderId="0" xfId="0" applyFont="1" applyFill="1" applyBorder="1"/>
    <xf numFmtId="1" fontId="0" fillId="0" borderId="4" xfId="0" applyNumberFormat="1" applyFont="1" applyFill="1" applyBorder="1" applyAlignment="1">
      <alignment horizontal="center"/>
    </xf>
    <xf numFmtId="166" fontId="0" fillId="0" borderId="4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" fontId="8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top" wrapText="1"/>
    </xf>
    <xf numFmtId="4" fontId="0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/>
    </xf>
    <xf numFmtId="4" fontId="8" fillId="0" borderId="4" xfId="0" applyNumberFormat="1" applyFont="1" applyFill="1" applyBorder="1"/>
    <xf numFmtId="0" fontId="4" fillId="0" borderId="0" xfId="0" applyFont="1" applyFill="1"/>
    <xf numFmtId="0" fontId="0" fillId="0" borderId="7" xfId="0" applyFont="1" applyFill="1" applyBorder="1"/>
    <xf numFmtId="0" fontId="0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ill="1" applyBorder="1"/>
    <xf numFmtId="0" fontId="2" fillId="0" borderId="4" xfId="0" applyFont="1" applyFill="1" applyBorder="1"/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 wrapText="1"/>
    </xf>
    <xf numFmtId="165" fontId="0" fillId="0" borderId="4" xfId="0" applyNumberFormat="1" applyFont="1" applyFill="1" applyBorder="1"/>
    <xf numFmtId="4" fontId="0" fillId="0" borderId="4" xfId="0" applyNumberFormat="1" applyFill="1" applyBorder="1" applyAlignment="1">
      <alignment horizontal="center" vertical="center" wrapText="1"/>
    </xf>
    <xf numFmtId="4" fontId="15" fillId="0" borderId="4" xfId="0" applyNumberFormat="1" applyFont="1" applyFill="1" applyBorder="1"/>
    <xf numFmtId="4" fontId="9" fillId="0" borderId="4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0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wrapText="1"/>
    </xf>
    <xf numFmtId="0" fontId="9" fillId="0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54D7-F9FB-4357-9928-4082EB2E016A}">
  <dimension ref="A1:I27"/>
  <sheetViews>
    <sheetView topLeftCell="A7" zoomScaleNormal="100" workbookViewId="0">
      <selection activeCell="G12" sqref="G12"/>
    </sheetView>
  </sheetViews>
  <sheetFormatPr defaultRowHeight="15" x14ac:dyDescent="0.25"/>
  <cols>
    <col min="1" max="1" width="23.5703125" style="2" customWidth="1"/>
    <col min="2" max="2" width="13.85546875" style="2" customWidth="1"/>
    <col min="3" max="3" width="14.140625" style="2" hidden="1" customWidth="1"/>
    <col min="4" max="4" width="18.28515625" style="2" customWidth="1"/>
    <col min="5" max="5" width="13.140625" style="2" customWidth="1"/>
    <col min="6" max="6" width="13.28515625" style="2" customWidth="1"/>
    <col min="7" max="7" width="24" style="2" customWidth="1"/>
    <col min="8" max="8" width="16.5703125" style="2" customWidth="1"/>
    <col min="9" max="9" width="15.7109375" style="2" customWidth="1"/>
    <col min="10" max="16384" width="9.140625" style="2"/>
  </cols>
  <sheetData>
    <row r="1" spans="1:9" s="7" customFormat="1" x14ac:dyDescent="0.25"/>
    <row r="2" spans="1:9" s="7" customFormat="1" x14ac:dyDescent="0.25">
      <c r="A2" s="75" t="s">
        <v>74</v>
      </c>
    </row>
    <row r="3" spans="1:9" s="7" customFormat="1" x14ac:dyDescent="0.25">
      <c r="I3" s="76"/>
    </row>
    <row r="4" spans="1:9" s="7" customFormat="1" x14ac:dyDescent="0.25">
      <c r="H4" s="7" t="s">
        <v>69</v>
      </c>
      <c r="I4" s="76"/>
    </row>
    <row r="5" spans="1:9" s="7" customFormat="1" ht="45" customHeight="1" x14ac:dyDescent="0.25">
      <c r="A5" s="77"/>
      <c r="B5" s="67" t="s">
        <v>0</v>
      </c>
      <c r="C5" s="60"/>
      <c r="D5" s="67" t="s">
        <v>38</v>
      </c>
      <c r="E5" s="67" t="s">
        <v>40</v>
      </c>
      <c r="F5" s="67" t="s">
        <v>39</v>
      </c>
      <c r="G5" s="78" t="s">
        <v>71</v>
      </c>
      <c r="H5" s="78" t="s">
        <v>42</v>
      </c>
      <c r="I5" s="79"/>
    </row>
    <row r="6" spans="1:9" s="7" customFormat="1" ht="90" customHeight="1" x14ac:dyDescent="0.25">
      <c r="A6" s="80"/>
      <c r="B6" s="68"/>
      <c r="C6" s="61"/>
      <c r="D6" s="68"/>
      <c r="E6" s="68"/>
      <c r="F6" s="68"/>
      <c r="G6" s="78"/>
      <c r="H6" s="78"/>
      <c r="I6" s="79"/>
    </row>
    <row r="7" spans="1:9" x14ac:dyDescent="0.25">
      <c r="A7" s="81"/>
      <c r="B7" s="6"/>
      <c r="C7" s="6"/>
      <c r="D7" s="1"/>
      <c r="E7" s="1"/>
      <c r="F7" s="1"/>
      <c r="G7" s="1"/>
      <c r="H7" s="1"/>
      <c r="I7" s="22"/>
    </row>
    <row r="8" spans="1:9" ht="30" x14ac:dyDescent="0.25">
      <c r="A8" s="26"/>
      <c r="B8" s="11">
        <v>1</v>
      </c>
      <c r="C8" s="26"/>
      <c r="D8" s="14">
        <v>2</v>
      </c>
      <c r="E8" s="14">
        <v>3</v>
      </c>
      <c r="F8" s="14">
        <v>4</v>
      </c>
      <c r="G8" s="39" t="s">
        <v>86</v>
      </c>
      <c r="H8" s="39"/>
      <c r="I8" s="19"/>
    </row>
    <row r="9" spans="1:9" x14ac:dyDescent="0.25">
      <c r="A9" s="27"/>
      <c r="B9" s="28"/>
      <c r="C9" s="27"/>
      <c r="D9" s="14"/>
      <c r="E9" s="14"/>
      <c r="F9" s="14"/>
      <c r="G9" s="14"/>
      <c r="H9" s="14"/>
      <c r="I9" s="19"/>
    </row>
    <row r="10" spans="1:9" x14ac:dyDescent="0.25">
      <c r="A10" s="10" t="s">
        <v>8</v>
      </c>
      <c r="B10" s="14">
        <v>16466</v>
      </c>
      <c r="C10" s="1"/>
      <c r="D10" s="36">
        <v>1.0980000000000001</v>
      </c>
      <c r="E10" s="14">
        <v>0.93300000000000005</v>
      </c>
      <c r="F10" s="36">
        <f>SUM(D10/E10)</f>
        <v>1.1768488745980707</v>
      </c>
      <c r="G10" s="74"/>
      <c r="H10" s="14"/>
      <c r="I10" s="19"/>
    </row>
    <row r="11" spans="1:9" x14ac:dyDescent="0.25">
      <c r="A11" s="10" t="s">
        <v>9</v>
      </c>
      <c r="B11" s="82">
        <v>941</v>
      </c>
      <c r="C11" s="1"/>
      <c r="D11" s="36">
        <v>0.44800000000000001</v>
      </c>
      <c r="E11" s="14">
        <v>1.157</v>
      </c>
      <c r="F11" s="36">
        <f>SUM(D11/E11)</f>
        <v>0.38720829732065687</v>
      </c>
      <c r="G11" s="74">
        <f t="shared" ref="G10:G22" si="0">119485442/30318*(0.4-F11)*E11*B11</f>
        <v>54886.531223880316</v>
      </c>
      <c r="H11" s="74">
        <v>54887</v>
      </c>
      <c r="I11" s="19"/>
    </row>
    <row r="12" spans="1:9" x14ac:dyDescent="0.25">
      <c r="A12" s="10" t="s">
        <v>10</v>
      </c>
      <c r="B12" s="82">
        <v>1106</v>
      </c>
      <c r="C12" s="1"/>
      <c r="D12" s="14">
        <v>0.36399999999999999</v>
      </c>
      <c r="E12" s="14">
        <v>1.157</v>
      </c>
      <c r="F12" s="36">
        <f t="shared" ref="F12:F22" si="1">SUM(D12/E12)</f>
        <v>0.3146067415730337</v>
      </c>
      <c r="G12" s="74">
        <f t="shared" si="0"/>
        <v>430652.04850509949</v>
      </c>
      <c r="H12" s="74">
        <v>430652</v>
      </c>
      <c r="I12" s="19"/>
    </row>
    <row r="13" spans="1:9" x14ac:dyDescent="0.25">
      <c r="A13" s="10" t="s">
        <v>11</v>
      </c>
      <c r="B13" s="82">
        <v>1233</v>
      </c>
      <c r="C13" s="1"/>
      <c r="D13" s="14">
        <v>2.125</v>
      </c>
      <c r="E13" s="14">
        <v>1.1819999999999999</v>
      </c>
      <c r="F13" s="36">
        <f t="shared" si="1"/>
        <v>1.7978003384094756</v>
      </c>
      <c r="G13" s="74"/>
      <c r="H13" s="74"/>
      <c r="I13" s="19"/>
    </row>
    <row r="14" spans="1:9" x14ac:dyDescent="0.25">
      <c r="A14" s="10" t="s">
        <v>12</v>
      </c>
      <c r="B14" s="82">
        <v>1383</v>
      </c>
      <c r="C14" s="1"/>
      <c r="D14" s="14">
        <v>0.51500000000000001</v>
      </c>
      <c r="E14" s="14">
        <v>0.995</v>
      </c>
      <c r="F14" s="36">
        <f t="shared" si="1"/>
        <v>0.51758793969849248</v>
      </c>
      <c r="G14" s="74"/>
      <c r="H14" s="74"/>
      <c r="I14" s="19"/>
    </row>
    <row r="15" spans="1:9" x14ac:dyDescent="0.25">
      <c r="A15" s="10" t="s">
        <v>13</v>
      </c>
      <c r="B15" s="82">
        <v>866</v>
      </c>
      <c r="C15" s="1"/>
      <c r="D15" s="36">
        <v>4.03</v>
      </c>
      <c r="E15" s="14">
        <v>1.216</v>
      </c>
      <c r="F15" s="36">
        <f t="shared" si="1"/>
        <v>3.3141447368421058</v>
      </c>
      <c r="G15" s="74"/>
      <c r="H15" s="74"/>
      <c r="I15" s="19"/>
    </row>
    <row r="16" spans="1:9" x14ac:dyDescent="0.25">
      <c r="A16" s="10" t="s">
        <v>14</v>
      </c>
      <c r="B16" s="82">
        <v>989</v>
      </c>
      <c r="C16" s="1"/>
      <c r="D16" s="14">
        <v>0.36699999999999999</v>
      </c>
      <c r="E16" s="14">
        <v>1.2</v>
      </c>
      <c r="F16" s="36">
        <f t="shared" si="1"/>
        <v>0.30583333333333335</v>
      </c>
      <c r="G16" s="74">
        <f t="shared" si="0"/>
        <v>440442.46129672148</v>
      </c>
      <c r="H16" s="74">
        <v>440442</v>
      </c>
      <c r="I16" s="19"/>
    </row>
    <row r="17" spans="1:9" x14ac:dyDescent="0.25">
      <c r="A17" s="10" t="s">
        <v>15</v>
      </c>
      <c r="B17" s="82">
        <v>1373</v>
      </c>
      <c r="C17" s="1"/>
      <c r="D17" s="14">
        <v>1.1739999999999999</v>
      </c>
      <c r="E17" s="14">
        <v>1.016</v>
      </c>
      <c r="F17" s="36">
        <f t="shared" si="1"/>
        <v>1.155511811023622</v>
      </c>
      <c r="G17" s="74"/>
      <c r="H17" s="74"/>
      <c r="I17" s="19"/>
    </row>
    <row r="18" spans="1:9" x14ac:dyDescent="0.25">
      <c r="A18" s="10" t="s">
        <v>16</v>
      </c>
      <c r="B18" s="82">
        <v>1727</v>
      </c>
      <c r="C18" s="1"/>
      <c r="D18" s="14">
        <v>0.29799999999999999</v>
      </c>
      <c r="E18" s="14">
        <v>1.0089999999999999</v>
      </c>
      <c r="F18" s="36">
        <f t="shared" si="1"/>
        <v>0.29534192269573839</v>
      </c>
      <c r="G18" s="74">
        <f t="shared" si="0"/>
        <v>718738.15687282791</v>
      </c>
      <c r="H18" s="74">
        <v>718738</v>
      </c>
      <c r="I18" s="19"/>
    </row>
    <row r="19" spans="1:9" x14ac:dyDescent="0.25">
      <c r="A19" s="10" t="s">
        <v>17</v>
      </c>
      <c r="B19" s="82">
        <v>1919</v>
      </c>
      <c r="C19" s="1"/>
      <c r="D19" s="36">
        <v>0.505</v>
      </c>
      <c r="E19" s="14">
        <v>0.88500000000000001</v>
      </c>
      <c r="F19" s="36">
        <f t="shared" si="1"/>
        <v>0.57062146892655363</v>
      </c>
      <c r="G19" s="74"/>
      <c r="H19" s="74"/>
      <c r="I19" s="19"/>
    </row>
    <row r="20" spans="1:9" x14ac:dyDescent="0.25">
      <c r="A20" s="10" t="s">
        <v>18</v>
      </c>
      <c r="B20" s="82">
        <v>1333</v>
      </c>
      <c r="C20" s="1"/>
      <c r="D20" s="14">
        <v>0.372</v>
      </c>
      <c r="E20" s="14">
        <v>1.0009999999999999</v>
      </c>
      <c r="F20" s="36">
        <f t="shared" si="1"/>
        <v>0.37162837162837165</v>
      </c>
      <c r="G20" s="74">
        <f t="shared" si="0"/>
        <v>149197.97727034765</v>
      </c>
      <c r="H20" s="74">
        <v>149198</v>
      </c>
      <c r="I20" s="19"/>
    </row>
    <row r="21" spans="1:9" x14ac:dyDescent="0.25">
      <c r="A21" s="10" t="s">
        <v>19</v>
      </c>
      <c r="B21" s="82">
        <v>982</v>
      </c>
      <c r="C21" s="1"/>
      <c r="D21" s="36">
        <v>0.65200000000000002</v>
      </c>
      <c r="E21" s="36">
        <v>1.141</v>
      </c>
      <c r="F21" s="36">
        <f t="shared" si="1"/>
        <v>0.5714285714285714</v>
      </c>
      <c r="G21" s="74"/>
      <c r="H21" s="74"/>
      <c r="I21" s="19"/>
    </row>
    <row r="22" spans="1:9" x14ac:dyDescent="0.25">
      <c r="A22" s="10" t="s">
        <v>7</v>
      </c>
      <c r="B22" s="29">
        <f t="shared" ref="B22" si="2">SUM(B10:B21)</f>
        <v>30318</v>
      </c>
      <c r="C22" s="83"/>
      <c r="D22" s="14">
        <v>1</v>
      </c>
      <c r="E22" s="14">
        <v>1</v>
      </c>
      <c r="F22" s="36">
        <f t="shared" si="1"/>
        <v>1</v>
      </c>
      <c r="G22" s="74">
        <f>SUM(G11:G20)</f>
        <v>1793917.1751688765</v>
      </c>
      <c r="H22" s="74">
        <f>SUM(H11:H20)</f>
        <v>1793917</v>
      </c>
      <c r="I22" s="19"/>
    </row>
    <row r="23" spans="1:9" x14ac:dyDescent="0.25">
      <c r="A23" s="10"/>
      <c r="B23" s="1"/>
      <c r="C23" s="1"/>
      <c r="D23" s="14"/>
      <c r="E23" s="14"/>
      <c r="F23" s="14"/>
      <c r="G23" s="24"/>
      <c r="H23" s="14"/>
      <c r="I23" s="19"/>
    </row>
    <row r="24" spans="1:9" x14ac:dyDescent="0.25">
      <c r="A24" s="10"/>
      <c r="B24" s="1"/>
      <c r="C24" s="1"/>
      <c r="D24" s="14"/>
      <c r="E24" s="14"/>
      <c r="F24" s="14"/>
      <c r="G24" s="24"/>
      <c r="H24" s="14"/>
      <c r="I24" s="19"/>
    </row>
    <row r="25" spans="1:9" x14ac:dyDescent="0.25">
      <c r="D25" s="18"/>
      <c r="E25" s="18"/>
      <c r="F25" s="18"/>
      <c r="G25" s="18"/>
      <c r="H25" s="23"/>
      <c r="I25" s="18"/>
    </row>
    <row r="27" spans="1:9" x14ac:dyDescent="0.25">
      <c r="A27" s="18" t="s">
        <v>41</v>
      </c>
      <c r="B27" s="18"/>
      <c r="C27" s="18">
        <v>63668130</v>
      </c>
      <c r="D27" s="59">
        <v>119485442</v>
      </c>
      <c r="E27" s="18"/>
      <c r="G27" s="4"/>
    </row>
  </sheetData>
  <mergeCells count="8">
    <mergeCell ref="H5:H6"/>
    <mergeCell ref="I5:I6"/>
    <mergeCell ref="A5:A6"/>
    <mergeCell ref="B5:B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6"/>
  <sheetViews>
    <sheetView zoomScaleNormal="100" workbookViewId="0">
      <pane xSplit="2" ySplit="9" topLeftCell="R10" activePane="bottomRight" state="frozen"/>
      <selection pane="topRight" activeCell="C1" sqref="C1"/>
      <selection pane="bottomLeft" activeCell="A9" sqref="A9"/>
      <selection pane="bottomRight" activeCell="T19" sqref="T19"/>
    </sheetView>
  </sheetViews>
  <sheetFormatPr defaultRowHeight="15" x14ac:dyDescent="0.25"/>
  <cols>
    <col min="1" max="1" width="4.140625" style="2" customWidth="1"/>
    <col min="2" max="2" width="19.7109375" style="2" customWidth="1"/>
    <col min="3" max="4" width="12.28515625" style="5" customWidth="1"/>
    <col min="5" max="5" width="13.5703125" style="2" customWidth="1"/>
    <col min="6" max="6" width="12.7109375" style="2" customWidth="1"/>
    <col min="7" max="7" width="13.85546875" style="2" customWidth="1"/>
    <col min="8" max="8" width="12.140625" style="2" customWidth="1"/>
    <col min="9" max="9" width="13.42578125" style="2" customWidth="1"/>
    <col min="10" max="10" width="13.28515625" style="2" customWidth="1"/>
    <col min="11" max="11" width="12.28515625" style="2" customWidth="1"/>
    <col min="12" max="12" width="11.5703125" style="2" customWidth="1"/>
    <col min="13" max="13" width="11.28515625" style="2" customWidth="1"/>
    <col min="14" max="14" width="10.140625" style="2" customWidth="1"/>
    <col min="15" max="15" width="13.140625" style="2" customWidth="1"/>
    <col min="16" max="16" width="11.140625" style="2" customWidth="1"/>
    <col min="17" max="17" width="1" style="2" hidden="1" customWidth="1"/>
    <col min="18" max="18" width="13.140625" style="2" customWidth="1"/>
    <col min="19" max="19" width="11.28515625" style="2" bestFit="1" customWidth="1"/>
    <col min="20" max="20" width="10.7109375" style="2" customWidth="1"/>
    <col min="21" max="21" width="12.5703125" style="2" customWidth="1"/>
    <col min="22" max="22" width="13" style="2" customWidth="1"/>
    <col min="23" max="23" width="13" style="3" customWidth="1"/>
    <col min="24" max="24" width="14.28515625" style="3" customWidth="1"/>
    <col min="25" max="25" width="12.140625" style="3" customWidth="1"/>
    <col min="26" max="26" width="15.28515625" style="3" customWidth="1"/>
    <col min="27" max="27" width="9.42578125" style="2" bestFit="1" customWidth="1"/>
    <col min="28" max="16384" width="9.140625" style="2"/>
  </cols>
  <sheetData>
    <row r="1" spans="1:27" ht="1.5" customHeight="1" x14ac:dyDescent="0.25"/>
    <row r="2" spans="1:27" s="7" customFormat="1" ht="4.5" customHeight="1" x14ac:dyDescent="0.25">
      <c r="C2" s="84"/>
      <c r="D2" s="84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W2" s="58"/>
      <c r="X2" s="58"/>
      <c r="Y2" s="58"/>
      <c r="Z2" s="58"/>
    </row>
    <row r="3" spans="1:27" s="7" customFormat="1" ht="15" customHeight="1" x14ac:dyDescent="0.3">
      <c r="B3" s="69" t="s">
        <v>78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85"/>
      <c r="O3" s="85"/>
      <c r="P3" s="69" t="s">
        <v>85</v>
      </c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s="7" customFormat="1" ht="15" customHeight="1" x14ac:dyDescent="0.3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85"/>
      <c r="O4" s="85"/>
      <c r="P4" s="62"/>
      <c r="Q4" s="62"/>
      <c r="R4" s="62"/>
      <c r="S4" s="62"/>
      <c r="T4" s="62"/>
      <c r="U4" s="62"/>
      <c r="V4" s="62"/>
      <c r="W4" s="62"/>
      <c r="X4" s="62"/>
      <c r="Y4" s="62"/>
      <c r="Z4" s="8" t="s">
        <v>68</v>
      </c>
      <c r="AA4" s="62"/>
    </row>
    <row r="5" spans="1:27" ht="6" customHeight="1" x14ac:dyDescent="0.25"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27" hidden="1" x14ac:dyDescent="0.25"/>
    <row r="7" spans="1:27" ht="15" customHeight="1" x14ac:dyDescent="0.25">
      <c r="A7" s="10"/>
      <c r="B7" s="67" t="s">
        <v>28</v>
      </c>
      <c r="C7" s="87" t="s">
        <v>29</v>
      </c>
      <c r="D7" s="70"/>
      <c r="E7" s="70"/>
      <c r="F7" s="70"/>
      <c r="G7" s="88"/>
      <c r="H7" s="70" t="s">
        <v>44</v>
      </c>
      <c r="I7" s="70"/>
      <c r="J7" s="70"/>
      <c r="K7" s="70"/>
      <c r="L7" s="89"/>
      <c r="M7" s="89"/>
      <c r="N7" s="89"/>
      <c r="O7" s="89"/>
      <c r="P7" s="90"/>
      <c r="Q7" s="90"/>
      <c r="R7" s="90"/>
      <c r="S7" s="90"/>
      <c r="T7" s="91"/>
      <c r="U7" s="67" t="s">
        <v>67</v>
      </c>
      <c r="V7" s="67" t="s">
        <v>32</v>
      </c>
      <c r="W7" s="78" t="s">
        <v>48</v>
      </c>
      <c r="X7" s="78" t="s">
        <v>36</v>
      </c>
      <c r="Y7" s="78" t="s">
        <v>37</v>
      </c>
      <c r="Z7" s="78" t="s">
        <v>38</v>
      </c>
    </row>
    <row r="8" spans="1:27" s="20" customFormat="1" ht="122.25" customHeight="1" x14ac:dyDescent="0.25">
      <c r="A8" s="15" t="s">
        <v>30</v>
      </c>
      <c r="B8" s="92"/>
      <c r="C8" s="15" t="s">
        <v>80</v>
      </c>
      <c r="D8" s="15" t="s">
        <v>81</v>
      </c>
      <c r="E8" s="15" t="s">
        <v>77</v>
      </c>
      <c r="F8" s="15" t="s">
        <v>43</v>
      </c>
      <c r="G8" s="15" t="s">
        <v>31</v>
      </c>
      <c r="H8" s="16" t="s">
        <v>79</v>
      </c>
      <c r="I8" s="16" t="s">
        <v>45</v>
      </c>
      <c r="J8" s="16" t="s">
        <v>46</v>
      </c>
      <c r="K8" s="16" t="s">
        <v>82</v>
      </c>
      <c r="L8" s="93" t="s">
        <v>83</v>
      </c>
      <c r="M8" s="94"/>
      <c r="N8" s="95"/>
      <c r="O8" s="15" t="s">
        <v>45</v>
      </c>
      <c r="P8" s="17" t="s">
        <v>46</v>
      </c>
      <c r="Q8" s="13"/>
      <c r="R8" s="93" t="s">
        <v>84</v>
      </c>
      <c r="S8" s="94"/>
      <c r="T8" s="95"/>
      <c r="U8" s="68"/>
      <c r="V8" s="68"/>
      <c r="W8" s="78"/>
      <c r="X8" s="78"/>
      <c r="Y8" s="78"/>
      <c r="Z8" s="78"/>
    </row>
    <row r="9" spans="1:27" s="21" customFormat="1" x14ac:dyDescent="0.25">
      <c r="A9" s="9">
        <v>1</v>
      </c>
      <c r="B9" s="9">
        <v>2</v>
      </c>
      <c r="C9" s="15">
        <v>3</v>
      </c>
      <c r="D9" s="15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15">
        <v>12</v>
      </c>
      <c r="M9" s="15">
        <v>13</v>
      </c>
      <c r="N9" s="15">
        <v>14</v>
      </c>
      <c r="O9" s="9">
        <v>15</v>
      </c>
      <c r="P9" s="9">
        <v>16</v>
      </c>
      <c r="Q9" s="9"/>
      <c r="R9" s="15">
        <v>17</v>
      </c>
      <c r="S9" s="15">
        <v>18</v>
      </c>
      <c r="T9" s="15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</row>
    <row r="10" spans="1:27" s="40" customFormat="1" ht="40.5" customHeight="1" x14ac:dyDescent="0.25">
      <c r="A10" s="28"/>
      <c r="B10" s="28"/>
      <c r="C10" s="42"/>
      <c r="D10" s="42"/>
      <c r="E10" s="28"/>
      <c r="F10" s="30"/>
      <c r="G10" s="30"/>
      <c r="H10" s="43"/>
      <c r="I10" s="43"/>
      <c r="J10" s="43"/>
      <c r="K10" s="44"/>
      <c r="L10" s="45" t="s">
        <v>33</v>
      </c>
      <c r="M10" s="45" t="s">
        <v>34</v>
      </c>
      <c r="N10" s="17" t="s">
        <v>7</v>
      </c>
      <c r="O10" s="43"/>
      <c r="P10" s="30"/>
      <c r="Q10" s="11"/>
      <c r="R10" s="46" t="s">
        <v>33</v>
      </c>
      <c r="S10" s="46" t="s">
        <v>35</v>
      </c>
      <c r="T10" s="16" t="s">
        <v>7</v>
      </c>
      <c r="U10" s="43" t="s">
        <v>47</v>
      </c>
      <c r="V10" s="43" t="s">
        <v>51</v>
      </c>
      <c r="W10" s="30"/>
      <c r="X10" s="30"/>
      <c r="Y10" s="42" t="s">
        <v>49</v>
      </c>
      <c r="Z10" s="42" t="s">
        <v>50</v>
      </c>
      <c r="AA10" s="47"/>
    </row>
    <row r="11" spans="1:27" x14ac:dyDescent="0.25">
      <c r="A11" s="32">
        <v>1</v>
      </c>
      <c r="B11" s="10" t="s">
        <v>8</v>
      </c>
      <c r="C11" s="96">
        <v>2266500</v>
      </c>
      <c r="D11" s="96">
        <v>24213715.699999999</v>
      </c>
      <c r="E11" s="50"/>
      <c r="F11" s="96">
        <f>D11/D23*E23</f>
        <v>29350226.718018942</v>
      </c>
      <c r="G11" s="96">
        <f>C11*13%*10%*1000+4</f>
        <v>29464504</v>
      </c>
      <c r="H11" s="96">
        <v>13009000</v>
      </c>
      <c r="I11" s="51"/>
      <c r="J11" s="51">
        <f>SUM(H11/H23*I23)</f>
        <v>12140862.03692076</v>
      </c>
      <c r="K11" s="96">
        <v>11952800</v>
      </c>
      <c r="L11" s="97">
        <v>1760000</v>
      </c>
      <c r="M11" s="98">
        <v>7592000</v>
      </c>
      <c r="N11" s="53">
        <f>L11+M11</f>
        <v>9352000</v>
      </c>
      <c r="O11" s="48"/>
      <c r="P11" s="51">
        <f>N11/N23*O23</f>
        <v>9720995.7971772086</v>
      </c>
      <c r="Q11" s="99"/>
      <c r="R11" s="96">
        <v>1943100</v>
      </c>
      <c r="S11" s="100">
        <v>7951000</v>
      </c>
      <c r="T11" s="42">
        <f>R11+S11</f>
        <v>9894100</v>
      </c>
      <c r="U11" s="55">
        <f>F11+P11+J11</f>
        <v>51212084.552116916</v>
      </c>
      <c r="V11" s="55">
        <f t="shared" ref="V11:V22" si="0">T11+K11+G11</f>
        <v>51311404</v>
      </c>
      <c r="W11" s="14">
        <v>16466</v>
      </c>
      <c r="X11" s="101">
        <v>1188870</v>
      </c>
      <c r="Y11" s="64">
        <f>U11+X11</f>
        <v>52400954.552116916</v>
      </c>
      <c r="Z11" s="56">
        <f>SUM(Y11/W11)/(Y23/W23)</f>
        <v>1.0978186463675357</v>
      </c>
      <c r="AA11" s="4"/>
    </row>
    <row r="12" spans="1:27" x14ac:dyDescent="0.25">
      <c r="A12" s="32">
        <v>2</v>
      </c>
      <c r="B12" s="10" t="s">
        <v>9</v>
      </c>
      <c r="C12" s="96">
        <v>36408</v>
      </c>
      <c r="D12" s="96">
        <v>469086.4</v>
      </c>
      <c r="E12" s="50"/>
      <c r="F12" s="96">
        <f>D12/D23*E23</f>
        <v>568594.77334737685</v>
      </c>
      <c r="G12" s="96">
        <f>C12*13%*10%*1000+4</f>
        <v>473308.00000000006</v>
      </c>
      <c r="H12" s="96">
        <v>170000</v>
      </c>
      <c r="I12" s="51"/>
      <c r="J12" s="51">
        <f>SUM(H12/H23*I23)</f>
        <v>158655.28067311313</v>
      </c>
      <c r="K12" s="96">
        <v>215200</v>
      </c>
      <c r="L12" s="97">
        <v>268000</v>
      </c>
      <c r="M12" s="97">
        <v>143000</v>
      </c>
      <c r="N12" s="53">
        <f t="shared" ref="N12:N22" si="1">L12+M12</f>
        <v>411000</v>
      </c>
      <c r="O12" s="48"/>
      <c r="P12" s="51">
        <f>N12/N23*O23</f>
        <v>427216.56037637219</v>
      </c>
      <c r="Q12" s="99"/>
      <c r="R12" s="96">
        <v>350200</v>
      </c>
      <c r="S12" s="96">
        <v>146000</v>
      </c>
      <c r="T12" s="42">
        <f t="shared" ref="T12:T22" si="2">R12+S12</f>
        <v>496200</v>
      </c>
      <c r="U12" s="55">
        <f t="shared" ref="U12:U22" si="3">F12+P12+J12</f>
        <v>1154466.6143968622</v>
      </c>
      <c r="V12" s="55">
        <f t="shared" si="0"/>
        <v>1184708</v>
      </c>
      <c r="W12" s="82">
        <v>941</v>
      </c>
      <c r="X12" s="101">
        <v>67940</v>
      </c>
      <c r="Y12" s="64">
        <f t="shared" ref="Y12:Y22" si="4">U12+X12</f>
        <v>1222406.6143968622</v>
      </c>
      <c r="Z12" s="56">
        <f>SUM(Y12/W12)/(Y23/W23)</f>
        <v>0.44813161469083979</v>
      </c>
      <c r="AA12" s="4"/>
    </row>
    <row r="13" spans="1:27" x14ac:dyDescent="0.25">
      <c r="A13" s="32">
        <v>3</v>
      </c>
      <c r="B13" s="10" t="s">
        <v>10</v>
      </c>
      <c r="C13" s="96">
        <v>44910</v>
      </c>
      <c r="D13" s="96">
        <v>436616.9</v>
      </c>
      <c r="E13" s="50"/>
      <c r="F13" s="96">
        <f>D13/D23*E23</f>
        <v>529237.44388056092</v>
      </c>
      <c r="G13" s="96">
        <f>C13*13%*10%*1000+5</f>
        <v>583835</v>
      </c>
      <c r="H13" s="96">
        <v>351000</v>
      </c>
      <c r="I13" s="51"/>
      <c r="J13" s="51">
        <f>SUM(H13/H23*I23)</f>
        <v>327576.4912721336</v>
      </c>
      <c r="K13" s="96">
        <v>319200</v>
      </c>
      <c r="L13" s="97">
        <v>160000</v>
      </c>
      <c r="M13" s="97">
        <v>63000</v>
      </c>
      <c r="N13" s="53">
        <f t="shared" si="1"/>
        <v>223000</v>
      </c>
      <c r="O13" s="48"/>
      <c r="P13" s="51">
        <f>N13/N23*O23</f>
        <v>231798.76633559854</v>
      </c>
      <c r="Q13" s="99"/>
      <c r="R13" s="96">
        <v>179350</v>
      </c>
      <c r="S13" s="96">
        <v>64000</v>
      </c>
      <c r="T13" s="42">
        <f t="shared" si="2"/>
        <v>243350</v>
      </c>
      <c r="U13" s="55">
        <f t="shared" si="3"/>
        <v>1088612.701488293</v>
      </c>
      <c r="V13" s="55">
        <f t="shared" si="0"/>
        <v>1146385</v>
      </c>
      <c r="W13" s="82">
        <v>1106</v>
      </c>
      <c r="X13" s="101">
        <v>79860</v>
      </c>
      <c r="Y13" s="64">
        <f t="shared" si="4"/>
        <v>1168472.701488293</v>
      </c>
      <c r="Z13" s="56">
        <f>SUM(Y13/W13)/(Y23/W23)</f>
        <v>0.36445419996051182</v>
      </c>
      <c r="AA13" s="4"/>
    </row>
    <row r="14" spans="1:27" x14ac:dyDescent="0.25">
      <c r="A14" s="32">
        <v>4</v>
      </c>
      <c r="B14" s="10" t="s">
        <v>11</v>
      </c>
      <c r="C14" s="96">
        <f>108961+1</f>
        <v>108962</v>
      </c>
      <c r="D14" s="96">
        <v>931222.8</v>
      </c>
      <c r="E14" s="50"/>
      <c r="F14" s="96">
        <f>D14/D23*E23</f>
        <v>1128765.2272628448</v>
      </c>
      <c r="G14" s="96">
        <f>C14*13%*10%*1000-16</f>
        <v>1416490.0000000002</v>
      </c>
      <c r="H14" s="96">
        <v>278000</v>
      </c>
      <c r="I14" s="51"/>
      <c r="J14" s="51">
        <f>SUM(H14/H23*I23)</f>
        <v>259448.04721838507</v>
      </c>
      <c r="K14" s="96">
        <v>288800</v>
      </c>
      <c r="L14" s="97">
        <v>442000</v>
      </c>
      <c r="M14" s="97">
        <v>5444000</v>
      </c>
      <c r="N14" s="53">
        <f t="shared" si="1"/>
        <v>5886000</v>
      </c>
      <c r="O14" s="48"/>
      <c r="P14" s="51">
        <f>N14/N23*O23</f>
        <v>6118240.0836382648</v>
      </c>
      <c r="Q14" s="99"/>
      <c r="R14" s="96">
        <v>476850</v>
      </c>
      <c r="S14" s="96">
        <v>5553000</v>
      </c>
      <c r="T14" s="42">
        <f t="shared" si="2"/>
        <v>6029850</v>
      </c>
      <c r="U14" s="55">
        <f t="shared" si="3"/>
        <v>7506453.3581194943</v>
      </c>
      <c r="V14" s="55">
        <f t="shared" si="0"/>
        <v>7735140</v>
      </c>
      <c r="W14" s="82">
        <v>1233</v>
      </c>
      <c r="X14" s="101">
        <v>89020</v>
      </c>
      <c r="Y14" s="64">
        <f t="shared" si="4"/>
        <v>7595473.3581194943</v>
      </c>
      <c r="Z14" s="56">
        <f>SUM(Y14/W14)/(Y23/W23)</f>
        <v>2.1250604269089362</v>
      </c>
      <c r="AA14" s="4"/>
    </row>
    <row r="15" spans="1:27" x14ac:dyDescent="0.25">
      <c r="A15" s="32">
        <v>5</v>
      </c>
      <c r="B15" s="10" t="s">
        <v>12</v>
      </c>
      <c r="C15" s="96">
        <v>88601</v>
      </c>
      <c r="D15" s="96">
        <v>889403.7</v>
      </c>
      <c r="E15" s="50"/>
      <c r="F15" s="96">
        <f>D15/D23*E23</f>
        <v>1078074.9457153701</v>
      </c>
      <c r="G15" s="96">
        <f t="shared" ref="G15" si="5">C15*13%*10%*1000</f>
        <v>1151813</v>
      </c>
      <c r="H15" s="96">
        <v>337000</v>
      </c>
      <c r="I15" s="51"/>
      <c r="J15" s="51">
        <f>SUM(H15/H23*I23)</f>
        <v>314510.76227552426</v>
      </c>
      <c r="K15" s="96">
        <v>372000</v>
      </c>
      <c r="L15" s="97">
        <v>402000</v>
      </c>
      <c r="M15" s="97">
        <v>147000</v>
      </c>
      <c r="N15" s="53">
        <f t="shared" si="1"/>
        <v>549000</v>
      </c>
      <c r="O15" s="48"/>
      <c r="P15" s="51">
        <f>N15/N23*O23</f>
        <v>570661.5368531103</v>
      </c>
      <c r="Q15" s="99"/>
      <c r="R15" s="96">
        <v>436900</v>
      </c>
      <c r="S15" s="96">
        <v>150000</v>
      </c>
      <c r="T15" s="42">
        <f t="shared" si="2"/>
        <v>586900</v>
      </c>
      <c r="U15" s="55">
        <f t="shared" si="3"/>
        <v>1963247.2448440047</v>
      </c>
      <c r="V15" s="55">
        <f t="shared" si="0"/>
        <v>2110713</v>
      </c>
      <c r="W15" s="82">
        <v>1383</v>
      </c>
      <c r="X15" s="101">
        <v>99850</v>
      </c>
      <c r="Y15" s="64">
        <f t="shared" si="4"/>
        <v>2063097.2448440047</v>
      </c>
      <c r="Z15" s="56">
        <f>SUM(Y15/W15)/(Y23/W23)</f>
        <v>0.51460859404242543</v>
      </c>
      <c r="AA15" s="4"/>
    </row>
    <row r="16" spans="1:27" x14ac:dyDescent="0.25">
      <c r="A16" s="32">
        <v>6</v>
      </c>
      <c r="B16" s="10" t="s">
        <v>13</v>
      </c>
      <c r="C16" s="96">
        <v>35090</v>
      </c>
      <c r="D16" s="96">
        <v>375306</v>
      </c>
      <c r="E16" s="50"/>
      <c r="F16" s="96">
        <f>D16/D23*E23</f>
        <v>454920.52211684379</v>
      </c>
      <c r="G16" s="96">
        <f>C16*13%*10%*1000+2</f>
        <v>456172</v>
      </c>
      <c r="H16" s="96">
        <v>108000</v>
      </c>
      <c r="I16" s="51"/>
      <c r="J16" s="51">
        <f>SUM(H16/H23*I23)</f>
        <v>100792.76654527188</v>
      </c>
      <c r="K16" s="96">
        <v>92000</v>
      </c>
      <c r="L16" s="97">
        <v>242000</v>
      </c>
      <c r="M16" s="97">
        <v>8896000</v>
      </c>
      <c r="N16" s="53">
        <f t="shared" si="1"/>
        <v>9138000</v>
      </c>
      <c r="O16" s="48"/>
      <c r="P16" s="51">
        <f>N16/N23*O23</f>
        <v>9498552.138003137</v>
      </c>
      <c r="Q16" s="99"/>
      <c r="R16" s="96">
        <v>287300</v>
      </c>
      <c r="S16" s="96">
        <v>9095000</v>
      </c>
      <c r="T16" s="42">
        <f t="shared" si="2"/>
        <v>9382300</v>
      </c>
      <c r="U16" s="55">
        <f t="shared" si="3"/>
        <v>10054265.426665252</v>
      </c>
      <c r="V16" s="55">
        <f t="shared" si="0"/>
        <v>9930472</v>
      </c>
      <c r="W16" s="82">
        <v>866</v>
      </c>
      <c r="X16" s="101">
        <v>62520</v>
      </c>
      <c r="Y16" s="64">
        <f t="shared" si="4"/>
        <v>10116785.426665252</v>
      </c>
      <c r="Z16" s="56">
        <f>SUM(Y16/W16)/(Y23/W23)</f>
        <v>4.0299918011695981</v>
      </c>
      <c r="AA16" s="4"/>
    </row>
    <row r="17" spans="1:27" x14ac:dyDescent="0.25">
      <c r="A17" s="32">
        <v>7</v>
      </c>
      <c r="B17" s="10" t="s">
        <v>14</v>
      </c>
      <c r="C17" s="96">
        <v>29229</v>
      </c>
      <c r="D17" s="96">
        <v>329122.3</v>
      </c>
      <c r="E17" s="50"/>
      <c r="F17" s="96">
        <f>D17/D23*E23</f>
        <v>398939.76796613022</v>
      </c>
      <c r="G17" s="96">
        <f>C17*13%*10%*1000-4</f>
        <v>379973.00000000006</v>
      </c>
      <c r="H17" s="96">
        <v>179000</v>
      </c>
      <c r="I17" s="51"/>
      <c r="J17" s="51">
        <f>SUM(H17/H23*I23)</f>
        <v>167054.67788521913</v>
      </c>
      <c r="K17" s="96">
        <v>152800</v>
      </c>
      <c r="L17" s="97">
        <v>362000</v>
      </c>
      <c r="M17" s="97">
        <v>36000</v>
      </c>
      <c r="N17" s="53">
        <f t="shared" si="1"/>
        <v>398000</v>
      </c>
      <c r="O17" s="48"/>
      <c r="P17" s="51">
        <f>N17/N23*O23</f>
        <v>413703.62780972297</v>
      </c>
      <c r="Q17" s="99"/>
      <c r="R17" s="96">
        <v>376550</v>
      </c>
      <c r="S17" s="96">
        <v>40000</v>
      </c>
      <c r="T17" s="42">
        <f t="shared" si="2"/>
        <v>416550</v>
      </c>
      <c r="U17" s="55">
        <f t="shared" si="3"/>
        <v>979698.0736610723</v>
      </c>
      <c r="V17" s="55">
        <f t="shared" si="0"/>
        <v>949323</v>
      </c>
      <c r="W17" s="82">
        <v>989</v>
      </c>
      <c r="X17" s="101">
        <v>71410</v>
      </c>
      <c r="Y17" s="64">
        <f t="shared" si="4"/>
        <v>1051108.0736610722</v>
      </c>
      <c r="Z17" s="56">
        <f>SUM(Y17/W17)/(Y23/W23)</f>
        <v>0.36663219262629637</v>
      </c>
      <c r="AA17" s="4"/>
    </row>
    <row r="18" spans="1:27" x14ac:dyDescent="0.25">
      <c r="A18" s="32">
        <v>8</v>
      </c>
      <c r="B18" s="10" t="s">
        <v>15</v>
      </c>
      <c r="C18" s="96">
        <v>260192</v>
      </c>
      <c r="D18" s="96">
        <v>2930437.8</v>
      </c>
      <c r="E18" s="50"/>
      <c r="F18" s="96">
        <f>D18/D23*E23</f>
        <v>3552078.2881353749</v>
      </c>
      <c r="G18" s="96">
        <f>C18*13%*10%*1000+5</f>
        <v>3382501</v>
      </c>
      <c r="H18" s="96">
        <v>274000</v>
      </c>
      <c r="I18" s="51"/>
      <c r="J18" s="51">
        <f>SUM(H18/H23*I23)</f>
        <v>255714.98179078236</v>
      </c>
      <c r="K18" s="96">
        <v>248800</v>
      </c>
      <c r="L18" s="97">
        <v>504000</v>
      </c>
      <c r="M18" s="97">
        <v>234000</v>
      </c>
      <c r="N18" s="53">
        <f t="shared" si="1"/>
        <v>738000</v>
      </c>
      <c r="O18" s="48"/>
      <c r="P18" s="51">
        <f>N18/N23*O23</f>
        <v>767118.78724516463</v>
      </c>
      <c r="Q18" s="99"/>
      <c r="R18" s="96">
        <v>491300</v>
      </c>
      <c r="S18" s="96">
        <v>246000</v>
      </c>
      <c r="T18" s="42">
        <f t="shared" si="2"/>
        <v>737300</v>
      </c>
      <c r="U18" s="55">
        <f t="shared" si="3"/>
        <v>4574912.0571713215</v>
      </c>
      <c r="V18" s="55">
        <f t="shared" si="0"/>
        <v>4368601</v>
      </c>
      <c r="W18" s="82">
        <v>1373</v>
      </c>
      <c r="X18" s="101">
        <v>99130</v>
      </c>
      <c r="Y18" s="64">
        <f t="shared" si="4"/>
        <v>4674042.0571713215</v>
      </c>
      <c r="Z18" s="56">
        <f>SUM(Y18/W18)/(Y23/W23)</f>
        <v>1.1743609304735743</v>
      </c>
      <c r="AA18" s="4"/>
    </row>
    <row r="19" spans="1:27" x14ac:dyDescent="0.25">
      <c r="A19" s="32">
        <v>9</v>
      </c>
      <c r="B19" s="10" t="s">
        <v>16</v>
      </c>
      <c r="C19" s="96">
        <v>35666</v>
      </c>
      <c r="D19" s="96">
        <v>386022.7</v>
      </c>
      <c r="E19" s="50"/>
      <c r="F19" s="96">
        <f>D19/D23*E23</f>
        <v>467910.58025438909</v>
      </c>
      <c r="G19" s="96">
        <f>C19*13%*10%*1000+1</f>
        <v>463659</v>
      </c>
      <c r="H19" s="96">
        <v>240000</v>
      </c>
      <c r="I19" s="51"/>
      <c r="J19" s="51">
        <f>SUM(H19/H23*I23)</f>
        <v>223983.92565615976</v>
      </c>
      <c r="K19" s="96">
        <v>248800</v>
      </c>
      <c r="L19" s="97">
        <v>526000</v>
      </c>
      <c r="M19" s="97">
        <v>125000</v>
      </c>
      <c r="N19" s="53">
        <f t="shared" si="1"/>
        <v>651000</v>
      </c>
      <c r="O19" s="48"/>
      <c r="P19" s="51">
        <f>N19/N23*O23</f>
        <v>676686.08468374284</v>
      </c>
      <c r="Q19" s="99"/>
      <c r="R19" s="96">
        <v>538050</v>
      </c>
      <c r="S19" s="96">
        <v>133000</v>
      </c>
      <c r="T19" s="42">
        <f t="shared" si="2"/>
        <v>671050</v>
      </c>
      <c r="U19" s="55">
        <f t="shared" si="3"/>
        <v>1368580.5905942917</v>
      </c>
      <c r="V19" s="55">
        <f t="shared" si="0"/>
        <v>1383509</v>
      </c>
      <c r="W19" s="82">
        <v>1727</v>
      </c>
      <c r="X19" s="101">
        <v>124690</v>
      </c>
      <c r="Y19" s="64">
        <f t="shared" si="4"/>
        <v>1493270.5905942917</v>
      </c>
      <c r="Z19" s="56">
        <f>SUM(Y19/W19)/(Y23/W23)</f>
        <v>0.29828106846051139</v>
      </c>
      <c r="AA19" s="4"/>
    </row>
    <row r="20" spans="1:27" x14ac:dyDescent="0.25">
      <c r="A20" s="32">
        <v>10</v>
      </c>
      <c r="B20" s="10" t="s">
        <v>17</v>
      </c>
      <c r="C20" s="96">
        <v>127443</v>
      </c>
      <c r="D20" s="96">
        <v>1450088.7</v>
      </c>
      <c r="E20" s="50"/>
      <c r="F20" s="96">
        <f>D20/D23*E23</f>
        <v>1757699.3400578066</v>
      </c>
      <c r="G20" s="96">
        <f>C20*13%*10%*1000-3</f>
        <v>1656756</v>
      </c>
      <c r="H20" s="96">
        <v>329000</v>
      </c>
      <c r="I20" s="51"/>
      <c r="J20" s="51">
        <f>SUM(H20/H23*I23)</f>
        <v>307044.63142031897</v>
      </c>
      <c r="K20" s="96">
        <v>318400</v>
      </c>
      <c r="L20" s="97">
        <v>481000</v>
      </c>
      <c r="M20" s="97">
        <v>102000</v>
      </c>
      <c r="N20" s="53">
        <f t="shared" si="1"/>
        <v>583000</v>
      </c>
      <c r="O20" s="48"/>
      <c r="P20" s="51">
        <f>N20/N23*O23</f>
        <v>606003.05279665452</v>
      </c>
      <c r="Q20" s="99"/>
      <c r="R20" s="96">
        <v>507450</v>
      </c>
      <c r="S20" s="96">
        <v>112000</v>
      </c>
      <c r="T20" s="42">
        <f t="shared" si="2"/>
        <v>619450</v>
      </c>
      <c r="U20" s="55">
        <f t="shared" si="3"/>
        <v>2670747.0242747799</v>
      </c>
      <c r="V20" s="55">
        <f t="shared" si="0"/>
        <v>2594606</v>
      </c>
      <c r="W20" s="82">
        <v>1919</v>
      </c>
      <c r="X20" s="101">
        <v>138560</v>
      </c>
      <c r="Y20" s="64">
        <f t="shared" si="4"/>
        <v>2809307.0242747799</v>
      </c>
      <c r="Z20" s="56">
        <f>SUM(Y20/W20)/(Y23/W23)</f>
        <v>0.50501438175126334</v>
      </c>
      <c r="AA20" s="4"/>
    </row>
    <row r="21" spans="1:27" x14ac:dyDescent="0.25">
      <c r="A21" s="32">
        <v>11</v>
      </c>
      <c r="B21" s="10" t="s">
        <v>18</v>
      </c>
      <c r="C21" s="96">
        <v>64289</v>
      </c>
      <c r="D21" s="96">
        <v>594748.69999999995</v>
      </c>
      <c r="E21" s="50"/>
      <c r="F21" s="96">
        <f>D21/D23*E23</f>
        <v>720914.10510973458</v>
      </c>
      <c r="G21" s="96">
        <f>C21*13%*10%*1000+1</f>
        <v>835758.00000000012</v>
      </c>
      <c r="H21" s="96">
        <v>225000</v>
      </c>
      <c r="I21" s="51"/>
      <c r="J21" s="51">
        <f>SUM(H21/H23*I23)</f>
        <v>209984.93030264974</v>
      </c>
      <c r="K21" s="96">
        <v>231200</v>
      </c>
      <c r="L21" s="97">
        <v>259000</v>
      </c>
      <c r="M21" s="97">
        <v>135000</v>
      </c>
      <c r="N21" s="53">
        <f t="shared" si="1"/>
        <v>394000</v>
      </c>
      <c r="O21" s="48"/>
      <c r="P21" s="51">
        <f>N21/N23*O23</f>
        <v>409545.80240460008</v>
      </c>
      <c r="Q21" s="99"/>
      <c r="R21" s="96">
        <v>266900</v>
      </c>
      <c r="S21" s="96">
        <v>139000</v>
      </c>
      <c r="T21" s="42">
        <f t="shared" si="2"/>
        <v>405900</v>
      </c>
      <c r="U21" s="55">
        <f t="shared" si="3"/>
        <v>1340444.8378169844</v>
      </c>
      <c r="V21" s="55">
        <f t="shared" si="0"/>
        <v>1472858</v>
      </c>
      <c r="W21" s="82">
        <v>1333</v>
      </c>
      <c r="X21" s="101">
        <v>96250</v>
      </c>
      <c r="Y21" s="64">
        <f t="shared" si="4"/>
        <v>1436694.8378169844</v>
      </c>
      <c r="Z21" s="56">
        <f>SUM(Y21/W21)/(Y23/W23)</f>
        <v>0.37180386291706696</v>
      </c>
      <c r="AA21" s="4"/>
    </row>
    <row r="22" spans="1:27" x14ac:dyDescent="0.25">
      <c r="A22" s="32">
        <v>12</v>
      </c>
      <c r="B22" s="10" t="s">
        <v>19</v>
      </c>
      <c r="C22" s="96">
        <v>57085</v>
      </c>
      <c r="D22" s="96">
        <v>824586.8</v>
      </c>
      <c r="E22" s="50"/>
      <c r="F22" s="96">
        <f>D22/D23*E23</f>
        <v>999508.28813463531</v>
      </c>
      <c r="G22" s="96">
        <f>C22*13%*10%*1000-4</f>
        <v>742101</v>
      </c>
      <c r="H22" s="96">
        <v>426000</v>
      </c>
      <c r="I22" s="51"/>
      <c r="J22" s="51">
        <f>SUM(H22/H23*I23)</f>
        <v>397571.46803968353</v>
      </c>
      <c r="K22" s="96">
        <v>423200</v>
      </c>
      <c r="L22" s="97">
        <v>272000</v>
      </c>
      <c r="M22" s="97">
        <v>100000</v>
      </c>
      <c r="N22" s="53">
        <f t="shared" si="1"/>
        <v>372000</v>
      </c>
      <c r="O22" s="48"/>
      <c r="P22" s="51">
        <f>N22/N23*O23</f>
        <v>386677.76267642446</v>
      </c>
      <c r="Q22" s="99"/>
      <c r="R22" s="96">
        <v>242250</v>
      </c>
      <c r="S22" s="96">
        <v>102000</v>
      </c>
      <c r="T22" s="42">
        <f t="shared" si="2"/>
        <v>344250</v>
      </c>
      <c r="U22" s="55">
        <f t="shared" si="3"/>
        <v>1783757.5188507433</v>
      </c>
      <c r="V22" s="55">
        <f t="shared" si="0"/>
        <v>1509551</v>
      </c>
      <c r="W22" s="82">
        <v>982</v>
      </c>
      <c r="X22" s="101">
        <v>70900</v>
      </c>
      <c r="Y22" s="64">
        <f t="shared" si="4"/>
        <v>1854657.5188507433</v>
      </c>
      <c r="Z22" s="56">
        <f>SUM(Y22/W22)/(Y23/W23)</f>
        <v>0.65152600147803941</v>
      </c>
      <c r="AA22" s="4"/>
    </row>
    <row r="23" spans="1:27" s="41" customFormat="1" ht="16.5" customHeight="1" x14ac:dyDescent="0.25">
      <c r="A23" s="29"/>
      <c r="B23" s="10" t="s">
        <v>7</v>
      </c>
      <c r="C23" s="49">
        <f>SUM(C11:C22)</f>
        <v>3154375</v>
      </c>
      <c r="D23" s="49">
        <f>SUM(D11:D22)</f>
        <v>33830358.499999993</v>
      </c>
      <c r="E23" s="66">
        <v>41006870</v>
      </c>
      <c r="F23" s="52">
        <f>SUM(F11:F22)</f>
        <v>41006870.000000007</v>
      </c>
      <c r="G23" s="52">
        <f>SUM(G11:G22)</f>
        <v>41006870</v>
      </c>
      <c r="H23" s="52">
        <f t="shared" ref="H23:K23" si="6">SUM(H11:H22)</f>
        <v>15926000</v>
      </c>
      <c r="I23" s="66">
        <v>14863200</v>
      </c>
      <c r="J23" s="52">
        <f t="shared" si="6"/>
        <v>14863200</v>
      </c>
      <c r="K23" s="52">
        <f t="shared" si="6"/>
        <v>14863200</v>
      </c>
      <c r="L23" s="31">
        <f t="shared" ref="L23:N23" si="7">SUM(L11:L22)</f>
        <v>5678000</v>
      </c>
      <c r="M23" s="31">
        <f t="shared" si="7"/>
        <v>23017000</v>
      </c>
      <c r="N23" s="31">
        <f t="shared" si="7"/>
        <v>28695000</v>
      </c>
      <c r="O23" s="66">
        <v>29827200</v>
      </c>
      <c r="P23" s="52">
        <f t="shared" ref="P23" si="8">SUM(P11:P22)</f>
        <v>29827200</v>
      </c>
      <c r="Q23" s="99"/>
      <c r="R23" s="49">
        <f t="shared" ref="R23:Y23" si="9">SUM(R11:R22)</f>
        <v>6096200</v>
      </c>
      <c r="S23" s="52">
        <f t="shared" si="9"/>
        <v>23731000</v>
      </c>
      <c r="T23" s="49">
        <f t="shared" si="9"/>
        <v>29827200</v>
      </c>
      <c r="U23" s="52">
        <f>SUM(U11:U22)</f>
        <v>85697270.000000015</v>
      </c>
      <c r="V23" s="52">
        <f t="shared" si="9"/>
        <v>85697270</v>
      </c>
      <c r="W23" s="102">
        <f t="shared" si="9"/>
        <v>30318</v>
      </c>
      <c r="X23" s="65">
        <f>SUM(X11:X22)</f>
        <v>2189000</v>
      </c>
      <c r="Y23" s="66">
        <f t="shared" si="9"/>
        <v>87886270.000000015</v>
      </c>
      <c r="Z23" s="57">
        <f>SUM(Y23/W23)/(Y23/W23)</f>
        <v>1</v>
      </c>
      <c r="AA23" s="103"/>
    </row>
    <row r="24" spans="1:27" x14ac:dyDescent="0.25">
      <c r="A24" s="10"/>
      <c r="B24" s="10"/>
      <c r="C24" s="48"/>
      <c r="D24" s="48"/>
      <c r="E24" s="10"/>
      <c r="F24" s="10"/>
      <c r="G24" s="10"/>
      <c r="H24" s="10"/>
      <c r="I24" s="10"/>
      <c r="J24" s="10"/>
      <c r="K24" s="10"/>
      <c r="L24" s="29"/>
      <c r="M24" s="29"/>
      <c r="N24" s="29"/>
      <c r="O24" s="10"/>
      <c r="P24" s="10"/>
      <c r="Q24" s="10"/>
      <c r="R24" s="10"/>
      <c r="S24" s="10"/>
      <c r="T24" s="10"/>
      <c r="U24" s="10"/>
      <c r="V24" s="10"/>
      <c r="W24" s="32"/>
      <c r="X24" s="32"/>
      <c r="Y24" s="32"/>
      <c r="Z24" s="32"/>
    </row>
    <row r="25" spans="1:27" x14ac:dyDescent="0.25">
      <c r="A25" s="10"/>
      <c r="B25" s="10"/>
      <c r="C25" s="48"/>
      <c r="D25" s="4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32"/>
      <c r="X25" s="32"/>
      <c r="Y25" s="32"/>
      <c r="Z25" s="32"/>
    </row>
    <row r="26" spans="1:27" x14ac:dyDescent="0.25">
      <c r="L26" s="54"/>
      <c r="M26" s="54"/>
      <c r="N26" s="54"/>
      <c r="X26" s="58"/>
      <c r="Y26" s="58"/>
      <c r="Z26" s="58"/>
    </row>
  </sheetData>
  <mergeCells count="14">
    <mergeCell ref="B3:M3"/>
    <mergeCell ref="P3:AA3"/>
    <mergeCell ref="W7:W8"/>
    <mergeCell ref="X7:X8"/>
    <mergeCell ref="Y7:Y8"/>
    <mergeCell ref="Z7:Z8"/>
    <mergeCell ref="U7:U8"/>
    <mergeCell ref="V7:V8"/>
    <mergeCell ref="B7:B8"/>
    <mergeCell ref="C7:G7"/>
    <mergeCell ref="H7:K7"/>
    <mergeCell ref="L7:T7"/>
    <mergeCell ref="L8:N8"/>
    <mergeCell ref="R8:T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4" zoomScaleNormal="100" workbookViewId="0">
      <selection activeCell="H7" sqref="H7"/>
    </sheetView>
  </sheetViews>
  <sheetFormatPr defaultRowHeight="15" x14ac:dyDescent="0.25"/>
  <cols>
    <col min="1" max="1" width="23" style="2" customWidth="1"/>
    <col min="2" max="2" width="13.140625" style="2" customWidth="1"/>
    <col min="3" max="3" width="12.28515625" style="2" customWidth="1"/>
    <col min="4" max="4" width="11.140625" style="2" customWidth="1"/>
    <col min="5" max="5" width="10.28515625" style="2" customWidth="1"/>
    <col min="6" max="6" width="13.140625" style="2" customWidth="1"/>
    <col min="7" max="8" width="9.85546875" style="2" customWidth="1"/>
    <col min="9" max="9" width="9.7109375" style="2" bestFit="1" customWidth="1"/>
    <col min="10" max="10" width="13.7109375" style="2" customWidth="1"/>
    <col min="11" max="11" width="14.42578125" style="2" customWidth="1"/>
    <col min="12" max="12" width="17.28515625" style="2" customWidth="1"/>
    <col min="13" max="13" width="11.7109375" style="2" customWidth="1"/>
    <col min="14" max="14" width="16.7109375" style="2" customWidth="1"/>
    <col min="15" max="15" width="20.28515625" style="2" customWidth="1"/>
    <col min="16" max="16384" width="9.140625" style="2"/>
  </cols>
  <sheetData>
    <row r="1" spans="1:15" s="7" customFormat="1" x14ac:dyDescent="0.25"/>
    <row r="2" spans="1:15" s="7" customFormat="1" ht="18.75" x14ac:dyDescent="0.3">
      <c r="B2" s="104" t="s">
        <v>73</v>
      </c>
      <c r="C2" s="104"/>
      <c r="D2" s="104"/>
      <c r="E2" s="104"/>
      <c r="F2" s="104"/>
    </row>
    <row r="3" spans="1:15" s="7" customFormat="1" x14ac:dyDescent="0.25"/>
    <row r="4" spans="1:15" s="7" customFormat="1" x14ac:dyDescent="0.25">
      <c r="O4" s="105" t="s">
        <v>70</v>
      </c>
    </row>
    <row r="5" spans="1:15" s="7" customFormat="1" ht="15" customHeight="1" x14ac:dyDescent="0.25">
      <c r="A5" s="77"/>
      <c r="B5" s="71" t="s">
        <v>0</v>
      </c>
      <c r="C5" s="106" t="s">
        <v>1</v>
      </c>
      <c r="D5" s="107"/>
      <c r="E5" s="106" t="s">
        <v>20</v>
      </c>
      <c r="F5" s="107"/>
      <c r="G5" s="106" t="s">
        <v>2</v>
      </c>
      <c r="H5" s="108"/>
      <c r="I5" s="108"/>
      <c r="J5" s="107"/>
      <c r="K5" s="109" t="s">
        <v>56</v>
      </c>
      <c r="L5" s="109"/>
      <c r="M5" s="109"/>
      <c r="N5" s="109"/>
      <c r="O5" s="78" t="s">
        <v>61</v>
      </c>
    </row>
    <row r="6" spans="1:15" s="25" customFormat="1" ht="114.75" customHeight="1" x14ac:dyDescent="0.25">
      <c r="A6" s="80"/>
      <c r="B6" s="72"/>
      <c r="C6" s="12" t="s">
        <v>3</v>
      </c>
      <c r="D6" s="12" t="s">
        <v>4</v>
      </c>
      <c r="E6" s="12" t="s">
        <v>22</v>
      </c>
      <c r="F6" s="12" t="s">
        <v>21</v>
      </c>
      <c r="G6" s="13" t="s">
        <v>5</v>
      </c>
      <c r="H6" s="13" t="s">
        <v>6</v>
      </c>
      <c r="I6" s="13" t="s">
        <v>27</v>
      </c>
      <c r="J6" s="13" t="s">
        <v>23</v>
      </c>
      <c r="K6" s="13" t="s">
        <v>52</v>
      </c>
      <c r="L6" s="13" t="s">
        <v>53</v>
      </c>
      <c r="M6" s="13" t="s">
        <v>54</v>
      </c>
      <c r="N6" s="13" t="s">
        <v>55</v>
      </c>
      <c r="O6" s="78"/>
    </row>
    <row r="7" spans="1:15" s="25" customFormat="1" ht="27.75" customHeight="1" x14ac:dyDescent="0.25">
      <c r="A7" s="110"/>
      <c r="B7" s="63"/>
      <c r="C7" s="12"/>
      <c r="D7" s="12"/>
      <c r="E7" s="11"/>
      <c r="F7" s="61"/>
      <c r="G7" s="13"/>
      <c r="H7" s="13"/>
      <c r="I7" s="13"/>
      <c r="J7" s="13"/>
      <c r="K7" s="111"/>
      <c r="L7" s="111"/>
      <c r="M7" s="11"/>
      <c r="N7" s="11"/>
      <c r="O7" s="11"/>
    </row>
    <row r="8" spans="1:15" s="25" customFormat="1" x14ac:dyDescent="0.25">
      <c r="A8" s="11"/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  <c r="N8" s="11">
        <v>13</v>
      </c>
      <c r="O8" s="11">
        <v>14</v>
      </c>
    </row>
    <row r="9" spans="1:15" s="40" customFormat="1" ht="92.25" customHeight="1" x14ac:dyDescent="0.25">
      <c r="A9" s="27"/>
      <c r="B9" s="27"/>
      <c r="C9" s="27"/>
      <c r="D9" s="27"/>
      <c r="E9" s="27"/>
      <c r="F9" s="27"/>
      <c r="G9" s="11" t="s">
        <v>72</v>
      </c>
      <c r="H9" s="11" t="s">
        <v>24</v>
      </c>
      <c r="I9" s="11" t="s">
        <v>25</v>
      </c>
      <c r="J9" s="11" t="s">
        <v>26</v>
      </c>
      <c r="K9" s="28" t="s">
        <v>57</v>
      </c>
      <c r="L9" s="28" t="s">
        <v>58</v>
      </c>
      <c r="M9" s="28" t="s">
        <v>59</v>
      </c>
      <c r="N9" s="28" t="s">
        <v>60</v>
      </c>
      <c r="O9" s="39" t="s">
        <v>76</v>
      </c>
    </row>
    <row r="10" spans="1:15" x14ac:dyDescent="0.25">
      <c r="A10" s="10" t="s">
        <v>8</v>
      </c>
      <c r="B10" s="14">
        <v>16466</v>
      </c>
      <c r="C10" s="82">
        <v>281</v>
      </c>
      <c r="D10" s="14">
        <v>13641</v>
      </c>
      <c r="E10" s="14">
        <v>3008.18</v>
      </c>
      <c r="F10" s="14">
        <v>59.11</v>
      </c>
      <c r="G10" s="37">
        <f>0.6+0.4*(B22/12)/B10</f>
        <v>0.66137495445159722</v>
      </c>
      <c r="H10" s="37">
        <f>SUM(C10/B10+1)</f>
        <v>1.0170654682375804</v>
      </c>
      <c r="I10" s="37">
        <f>SUM(D10/B10+1)</f>
        <v>1.8284343495688085</v>
      </c>
      <c r="J10" s="10">
        <f>0.9+0.1*(0.8*E10/E22+0.2*F10/F22)</f>
        <v>1</v>
      </c>
      <c r="K10" s="37">
        <f>SUM(B10*G10/B10)/(B22*G22/B22)</f>
        <v>0.66137495445159722</v>
      </c>
      <c r="L10" s="37">
        <f>SUM(B10*G10*J10/B10)/(B22*G22*J22/B22)</f>
        <v>0.66137495445159722</v>
      </c>
      <c r="M10" s="37">
        <f xml:space="preserve"> SUM(B10*G10*J10/B10)/(B22*G22*J22/B22)</f>
        <v>0.66137495445159722</v>
      </c>
      <c r="N10" s="37">
        <f>SUM(B10*H10*I10/B10)/(B22*H22*I22/B22)</f>
        <v>1.2011167164476328</v>
      </c>
      <c r="O10" s="36">
        <f>SUM(K10*0.248+L10*0.12+M10*0.129+N10*0.503)</f>
        <v>0.93286506073560305</v>
      </c>
    </row>
    <row r="11" spans="1:15" x14ac:dyDescent="0.25">
      <c r="A11" s="10" t="s">
        <v>9</v>
      </c>
      <c r="B11" s="82">
        <v>941</v>
      </c>
      <c r="C11" s="82">
        <v>0</v>
      </c>
      <c r="D11" s="1"/>
      <c r="E11" s="14">
        <v>3008.18</v>
      </c>
      <c r="F11" s="14">
        <v>59.11</v>
      </c>
      <c r="G11" s="37">
        <f>0.6+0.4*(B22/12)/B11</f>
        <v>1.6739638682252922</v>
      </c>
      <c r="H11" s="37">
        <f t="shared" ref="H11:H22" si="0">SUM(C11/B11+1)</f>
        <v>1</v>
      </c>
      <c r="I11" s="37">
        <v>1</v>
      </c>
      <c r="J11" s="10">
        <f>0.9+0.1*(0.8*E11/E22+0.2*F11/F22)</f>
        <v>1</v>
      </c>
      <c r="K11" s="37">
        <f>SUM(B11*G11/B11)/(B22*G22/B22)</f>
        <v>1.6739638682252922</v>
      </c>
      <c r="L11" s="37">
        <f>SUM(B11*G11*J11/B11)/(B22*G22*J22/B22)</f>
        <v>1.6739638682252922</v>
      </c>
      <c r="M11" s="37">
        <f xml:space="preserve"> SUM(B11*G11*J11/B11)/(B22*G22*J22/B22)</f>
        <v>1.6739638682252922</v>
      </c>
      <c r="N11" s="37">
        <f>SUM(B11*H11*I11/B11)/(B22*H22*I22/B22)</f>
        <v>0.64588757570568112</v>
      </c>
      <c r="O11" s="36">
        <f t="shared" ref="O11:O22" si="1">SUM(K11*0.248+L11*0.12+M11*0.129+N11*0.503)</f>
        <v>1.1568414930879278</v>
      </c>
    </row>
    <row r="12" spans="1:15" x14ac:dyDescent="0.25">
      <c r="A12" s="10" t="s">
        <v>10</v>
      </c>
      <c r="B12" s="82">
        <v>1106</v>
      </c>
      <c r="C12" s="82">
        <v>270</v>
      </c>
      <c r="D12" s="1"/>
      <c r="E12" s="14">
        <v>3008.18</v>
      </c>
      <c r="F12" s="14">
        <v>59.11</v>
      </c>
      <c r="G12" s="37">
        <f>0.6+0.4*(B22/12)/B12</f>
        <v>1.5137432188065101</v>
      </c>
      <c r="H12" s="37">
        <f t="shared" si="0"/>
        <v>1.244122965641953</v>
      </c>
      <c r="I12" s="37">
        <v>1</v>
      </c>
      <c r="J12" s="10">
        <f>0.9+0.1*(0.8*E12/E22+0.2*F12/F22)</f>
        <v>1</v>
      </c>
      <c r="K12" s="37">
        <f>SUM(B12*G12/B12)/(B22*G22/B22)</f>
        <v>1.5137432188065101</v>
      </c>
      <c r="L12" s="37">
        <f>SUM(B12*G12*J12/B12)/(B22*G22*J22/B22)</f>
        <v>1.5137432188065101</v>
      </c>
      <c r="M12" s="37">
        <f xml:space="preserve"> SUM(B12*G12*J12/B12)/(B22*G22*J22/B22)</f>
        <v>1.5137432188065101</v>
      </c>
      <c r="N12" s="37">
        <f>SUM(B12*H12*I12/B12)/(B22*H22*I22/B22)</f>
        <v>0.80356356615824343</v>
      </c>
      <c r="O12" s="36">
        <f t="shared" si="1"/>
        <v>1.1565228535244318</v>
      </c>
    </row>
    <row r="13" spans="1:15" x14ac:dyDescent="0.25">
      <c r="A13" s="10" t="s">
        <v>11</v>
      </c>
      <c r="B13" s="82">
        <v>1233</v>
      </c>
      <c r="C13" s="82">
        <v>576</v>
      </c>
      <c r="D13" s="1"/>
      <c r="E13" s="14">
        <v>3008.18</v>
      </c>
      <c r="F13" s="14">
        <v>59.11</v>
      </c>
      <c r="G13" s="37">
        <f>0.6+0.4*(B22/12)/B13</f>
        <v>1.4196269261962693</v>
      </c>
      <c r="H13" s="37">
        <f t="shared" si="0"/>
        <v>1.4671532846715327</v>
      </c>
      <c r="I13" s="37">
        <v>1</v>
      </c>
      <c r="J13" s="10">
        <f>0.9+0.1*(0.8*E13/E22+0.2*F13/F22)</f>
        <v>1</v>
      </c>
      <c r="K13" s="37">
        <f>SUM(B13*G13/B13)/(B22*G22/B22)</f>
        <v>1.4196269261962693</v>
      </c>
      <c r="L13" s="37">
        <f>SUM(B13*G13*J13/B13)/(B22*G22*J22/B22)</f>
        <v>1.4196269261962693</v>
      </c>
      <c r="M13" s="37">
        <f xml:space="preserve"> SUM(B13*G13*J13/B13)/(B22*G22*J22/B22)</f>
        <v>1.4196269261962693</v>
      </c>
      <c r="N13" s="37">
        <f>SUM(B13*H13*I13/B13)/(B22*H22*I22/B22)</f>
        <v>0.94761607822512339</v>
      </c>
      <c r="O13" s="36">
        <f t="shared" si="1"/>
        <v>1.182205469666783</v>
      </c>
    </row>
    <row r="14" spans="1:15" x14ac:dyDescent="0.25">
      <c r="A14" s="10" t="s">
        <v>12</v>
      </c>
      <c r="B14" s="82">
        <v>1383</v>
      </c>
      <c r="C14" s="14">
        <v>39</v>
      </c>
      <c r="D14" s="1"/>
      <c r="E14" s="14">
        <v>3008.18</v>
      </c>
      <c r="F14" s="14">
        <v>59.11</v>
      </c>
      <c r="G14" s="37">
        <f>0.6+0.4*(B22/12)/B14</f>
        <v>1.3307302964569776</v>
      </c>
      <c r="H14" s="37">
        <f t="shared" si="0"/>
        <v>1.0281995661605206</v>
      </c>
      <c r="I14" s="37">
        <v>1</v>
      </c>
      <c r="J14" s="10">
        <f>0.9+0.1*(0.8*E14/E22+0.2*F14/F22)</f>
        <v>1</v>
      </c>
      <c r="K14" s="37">
        <f>SUM(B14*G14/B14)/(B22*G22/B22)</f>
        <v>1.3307302964569776</v>
      </c>
      <c r="L14" s="37">
        <f>SUM(B14*G14*J14/B14)/(B22*G22*J22/B22)</f>
        <v>1.3307302964569776</v>
      </c>
      <c r="M14" s="37">
        <f xml:space="preserve"> SUM(B14*G14*J14/B14)/(B22*G22*J22/B22)</f>
        <v>1.3307302964569776</v>
      </c>
      <c r="N14" s="37">
        <f>SUM(B14*H14*I14/B14)/(B22*H22*I22/B22)</f>
        <v>0.66410132512905173</v>
      </c>
      <c r="O14" s="36">
        <f t="shared" si="1"/>
        <v>0.99541592387903099</v>
      </c>
    </row>
    <row r="15" spans="1:15" x14ac:dyDescent="0.25">
      <c r="A15" s="10" t="s">
        <v>13</v>
      </c>
      <c r="B15" s="82">
        <v>866</v>
      </c>
      <c r="C15" s="82">
        <v>35</v>
      </c>
      <c r="D15" s="1"/>
      <c r="E15" s="14">
        <v>3008.18</v>
      </c>
      <c r="F15" s="14">
        <v>59.11</v>
      </c>
      <c r="G15" s="37">
        <f>0.6+0.4*(B22/12)/B15</f>
        <v>1.7669745958429561</v>
      </c>
      <c r="H15" s="37">
        <f t="shared" si="0"/>
        <v>1.0404157043879907</v>
      </c>
      <c r="I15" s="37">
        <v>1</v>
      </c>
      <c r="J15" s="10">
        <f>0.9+0.1*(0.8*E15/E22+0.2*F15/F22)</f>
        <v>1</v>
      </c>
      <c r="K15" s="37">
        <f>SUM(B15*G15/B15)/(B22*G22/B22)</f>
        <v>1.7669745958429561</v>
      </c>
      <c r="L15" s="37">
        <f>SUM(B15*G15*J15/B15)/(B22*G22*J22/B22)</f>
        <v>1.7669745958429561</v>
      </c>
      <c r="M15" s="37">
        <f xml:space="preserve"> SUM(B15*G15*J15/B15)/(B22*G22*J22/B22)</f>
        <v>1.7669745958429561</v>
      </c>
      <c r="N15" s="37">
        <f>SUM(B15*H15*I15/B15)/(B22*H22*I22/B22)</f>
        <v>0.67199157703327794</v>
      </c>
      <c r="O15" s="36">
        <f t="shared" si="1"/>
        <v>1.2161981373816879</v>
      </c>
    </row>
    <row r="16" spans="1:15" x14ac:dyDescent="0.25">
      <c r="A16" s="10" t="s">
        <v>14</v>
      </c>
      <c r="B16" s="82">
        <v>989</v>
      </c>
      <c r="C16" s="82">
        <v>209</v>
      </c>
      <c r="D16" s="1"/>
      <c r="E16" s="14">
        <v>3008.18</v>
      </c>
      <c r="F16" s="14">
        <v>59.11</v>
      </c>
      <c r="G16" s="37">
        <f>0.6+0.4*(B22/12)/B16</f>
        <v>1.621840242669363</v>
      </c>
      <c r="H16" s="37">
        <f t="shared" si="0"/>
        <v>1.2113245702730031</v>
      </c>
      <c r="I16" s="37">
        <v>1</v>
      </c>
      <c r="J16" s="10">
        <f>0.9+0.1*(0.8*E16/E22+0.2*F16/F22)</f>
        <v>1</v>
      </c>
      <c r="K16" s="37">
        <f>SUM(B16*G16/B16)/(B22*G22/B22)</f>
        <v>1.621840242669363</v>
      </c>
      <c r="L16" s="37">
        <f>SUM(B16*G16*J16/B16)/(B22*G22*J22/B22)</f>
        <v>1.621840242669363</v>
      </c>
      <c r="M16" s="37">
        <f xml:space="preserve"> SUM(B16*G16*J16/B16)/(B22*G22*J22/B22)</f>
        <v>1.621840242669363</v>
      </c>
      <c r="N16" s="37">
        <f>SUM(B16*H16*I16/B16)/(B22*H22*I22/B22)</f>
        <v>0.78237949008635599</v>
      </c>
      <c r="O16" s="36">
        <f t="shared" si="1"/>
        <v>1.1995914841201105</v>
      </c>
    </row>
    <row r="17" spans="1:15" x14ac:dyDescent="0.25">
      <c r="A17" s="10" t="s">
        <v>15</v>
      </c>
      <c r="B17" s="82">
        <v>1373</v>
      </c>
      <c r="C17" s="82">
        <v>116</v>
      </c>
      <c r="D17" s="1"/>
      <c r="E17" s="14">
        <v>3008.18</v>
      </c>
      <c r="F17" s="14">
        <v>59.11</v>
      </c>
      <c r="G17" s="37">
        <f>0.6+0.4*(B22/12)/B17</f>
        <v>1.3360524399126001</v>
      </c>
      <c r="H17" s="37">
        <f>SUM(C17/B17+1)</f>
        <v>1.0844865258557903</v>
      </c>
      <c r="I17" s="37">
        <v>1</v>
      </c>
      <c r="J17" s="10">
        <f>0.9+0.1*(0.8*E17/E22+0.2*F17/F22)</f>
        <v>1</v>
      </c>
      <c r="K17" s="37">
        <f>SUM(B17*G17/B17)/(B22*G22/B22)</f>
        <v>1.3360524399126001</v>
      </c>
      <c r="L17" s="37">
        <f>SUM(B17*G17*J17/B17)/(B22*G22*J22/B22)</f>
        <v>1.3360524399126001</v>
      </c>
      <c r="M17" s="37">
        <f xml:space="preserve"> SUM(B17*G17*J17/B17)/(B22*G22*J22/B22)</f>
        <v>1.3360524399126001</v>
      </c>
      <c r="N17" s="37">
        <f>SUM(B17*H17*I17/B17)/(B22*H22*I22/B22)</f>
        <v>0.70045637307047293</v>
      </c>
      <c r="O17" s="36">
        <f t="shared" si="1"/>
        <v>1.0163476182910101</v>
      </c>
    </row>
    <row r="18" spans="1:15" x14ac:dyDescent="0.25">
      <c r="A18" s="10" t="s">
        <v>16</v>
      </c>
      <c r="B18" s="82">
        <v>1727</v>
      </c>
      <c r="C18" s="82">
        <v>506</v>
      </c>
      <c r="D18" s="1"/>
      <c r="E18" s="14">
        <v>3008.18</v>
      </c>
      <c r="F18" s="14">
        <v>59.11</v>
      </c>
      <c r="G18" s="37">
        <f>0.6+0.4*(B22/12)/B18</f>
        <v>1.1851766068326577</v>
      </c>
      <c r="H18" s="37">
        <f t="shared" si="0"/>
        <v>1.2929936305732483</v>
      </c>
      <c r="I18" s="37">
        <v>1</v>
      </c>
      <c r="J18" s="10">
        <f>0.9+0.1*(0.8*E18/E22+0.2*F18/F22)</f>
        <v>1</v>
      </c>
      <c r="K18" s="37">
        <f>SUM(B18*G18/B18)/(B22*G22/B22)</f>
        <v>1.1851766068326577</v>
      </c>
      <c r="L18" s="37">
        <f>SUM(B18*G18*J18/B18)/(B22*G22*J22/B22)</f>
        <v>1.1851766068326577</v>
      </c>
      <c r="M18" s="37">
        <f xml:space="preserve"> SUM(B18*G18*J18/B18)/(B22*G22*J22/B22)</f>
        <v>1.1851766068326577</v>
      </c>
      <c r="N18" s="37">
        <f>SUM(B18*H18*I18/B18)/(B22*H22*I22/B22)</f>
        <v>0.83512852145384242</v>
      </c>
      <c r="O18" s="36">
        <f t="shared" si="1"/>
        <v>1.0091024198871135</v>
      </c>
    </row>
    <row r="19" spans="1:15" x14ac:dyDescent="0.25">
      <c r="A19" s="10" t="s">
        <v>17</v>
      </c>
      <c r="B19" s="82">
        <v>1919</v>
      </c>
      <c r="C19" s="82">
        <v>0</v>
      </c>
      <c r="D19" s="1"/>
      <c r="E19" s="14">
        <v>3008.18</v>
      </c>
      <c r="F19" s="14">
        <v>59.11</v>
      </c>
      <c r="G19" s="37">
        <f>0.6+0.4*(B22/12)/B19</f>
        <v>1.1266284523189161</v>
      </c>
      <c r="H19" s="37">
        <f t="shared" si="0"/>
        <v>1</v>
      </c>
      <c r="I19" s="37">
        <v>1</v>
      </c>
      <c r="J19" s="10">
        <f>0.9+0.1*(0.8*E19/E22+0.2*F19/F22)</f>
        <v>1</v>
      </c>
      <c r="K19" s="37">
        <f>SUM(B19*G19/B19)/(B22*G22/B22)</f>
        <v>1.1266284523189161</v>
      </c>
      <c r="L19" s="37">
        <f>SUM(B19*G19*J19/B19)/(B22*G22*J22/B22)</f>
        <v>1.1266284523189161</v>
      </c>
      <c r="M19" s="37">
        <f xml:space="preserve"> SUM(B19*G19*J19/B19)/(B22*G22*J22/B22)</f>
        <v>1.1266284523189161</v>
      </c>
      <c r="N19" s="37">
        <f>SUM(B19*H19*I19/B19)/(B22*H22*I22/B22)</f>
        <v>0.64588757570568112</v>
      </c>
      <c r="O19" s="36">
        <f t="shared" si="1"/>
        <v>0.88481579138245881</v>
      </c>
    </row>
    <row r="20" spans="1:15" x14ac:dyDescent="0.25">
      <c r="A20" s="10" t="s">
        <v>18</v>
      </c>
      <c r="B20" s="82">
        <v>1333</v>
      </c>
      <c r="C20" s="14">
        <v>6</v>
      </c>
      <c r="D20" s="1"/>
      <c r="E20" s="14">
        <v>3008.18</v>
      </c>
      <c r="F20" s="14">
        <v>59.11</v>
      </c>
      <c r="G20" s="37">
        <f>0.6+0.4*(B22/12)/B20</f>
        <v>1.3581395348837209</v>
      </c>
      <c r="H20" s="37">
        <f t="shared" si="0"/>
        <v>1.0045011252813203</v>
      </c>
      <c r="I20" s="37">
        <v>1</v>
      </c>
      <c r="J20" s="10">
        <f>0.9+0.1*(0.8*E20/E22+0.2*F20/F22)</f>
        <v>1</v>
      </c>
      <c r="K20" s="37">
        <f>SUM(B20*G20/B20)/(B22*G22/B22)</f>
        <v>1.3581395348837209</v>
      </c>
      <c r="L20" s="37">
        <f>SUM(B20*G20*J20/B20)/(B22*G22*J22/B22)</f>
        <v>1.3581395348837209</v>
      </c>
      <c r="M20" s="37">
        <f xml:space="preserve"> SUM(B20*G20*J20/B20)/(B22*G22*J22/B22)</f>
        <v>1.3581395348837209</v>
      </c>
      <c r="N20" s="37">
        <f>SUM(B20*H20*I20/B20)/(B22*H22*I22/B22)</f>
        <v>0.64879479660158068</v>
      </c>
      <c r="O20" s="36">
        <f t="shared" si="1"/>
        <v>1.0013391315278044</v>
      </c>
    </row>
    <row r="21" spans="1:15" x14ac:dyDescent="0.25">
      <c r="A21" s="10" t="s">
        <v>19</v>
      </c>
      <c r="B21" s="82">
        <v>982</v>
      </c>
      <c r="C21" s="82">
        <v>18</v>
      </c>
      <c r="D21" s="1"/>
      <c r="E21" s="14">
        <v>3008.18</v>
      </c>
      <c r="F21" s="14">
        <v>59.11</v>
      </c>
      <c r="G21" s="37">
        <f>0.6+0.4*(B22/12)/B21</f>
        <v>1.629124236252546</v>
      </c>
      <c r="H21" s="37">
        <f t="shared" si="0"/>
        <v>1.0183299389002036</v>
      </c>
      <c r="I21" s="37">
        <v>1</v>
      </c>
      <c r="J21" s="10">
        <f>0.9+0.1*(0.8*E21/E22+0.2*F21/F22)</f>
        <v>1</v>
      </c>
      <c r="K21" s="37">
        <f>SUM(B21*G21/B21)/(B22*G22/B22)</f>
        <v>1.629124236252546</v>
      </c>
      <c r="L21" s="37">
        <f>SUM(B21*G21*J21/B21)/(B22*G22*J22/B22)</f>
        <v>1.629124236252546</v>
      </c>
      <c r="M21" s="37">
        <f xml:space="preserve"> SUM(B21*G21*J21/B21)/(B22*G22*J22/B22)</f>
        <v>1.629124236252546</v>
      </c>
      <c r="N21" s="37">
        <f>SUM(B21*H21*I21/B21)/(B22*H22*I22/B22)</f>
        <v>0.65772665550476694</v>
      </c>
      <c r="O21" s="36">
        <f t="shared" si="1"/>
        <v>1.140511253136413</v>
      </c>
    </row>
    <row r="22" spans="1:15" s="41" customFormat="1" ht="16.5" customHeight="1" x14ac:dyDescent="0.25">
      <c r="A22" s="10" t="s">
        <v>7</v>
      </c>
      <c r="B22" s="29">
        <f t="shared" ref="B22:D22" si="2">SUM(B10:B21)</f>
        <v>30318</v>
      </c>
      <c r="C22" s="29">
        <f t="shared" si="2"/>
        <v>2056</v>
      </c>
      <c r="D22" s="112">
        <f t="shared" si="2"/>
        <v>13641</v>
      </c>
      <c r="E22" s="14">
        <v>3008.18</v>
      </c>
      <c r="F22" s="14">
        <v>59.11</v>
      </c>
      <c r="G22" s="37">
        <v>1</v>
      </c>
      <c r="H22" s="37">
        <f t="shared" si="0"/>
        <v>1.0678144996371792</v>
      </c>
      <c r="I22" s="38">
        <f>SUM(D22/B22+1)</f>
        <v>1.4499307342172967</v>
      </c>
      <c r="J22" s="10">
        <f>0.9+0.1*(0.8*E22/E22+0.2*F22/F22)</f>
        <v>1</v>
      </c>
      <c r="K22" s="37">
        <f>SUM(B22*G22/B22)/(B22*G22/B22)</f>
        <v>1</v>
      </c>
      <c r="L22" s="37">
        <f>SUM(B22*G22*J22/B22)/(B22*G22*J22/B22)</f>
        <v>1</v>
      </c>
      <c r="M22" s="37">
        <f xml:space="preserve"> SUM(B22*G22*J22/B22)/(B22*G22*J22/B22)</f>
        <v>1</v>
      </c>
      <c r="N22" s="37">
        <f>SUM(B22*H22*I22/B22)/(B22*H22*I22/B22)</f>
        <v>1</v>
      </c>
      <c r="O22" s="36">
        <f t="shared" si="1"/>
        <v>1</v>
      </c>
    </row>
    <row r="23" spans="1:15" x14ac:dyDescent="0.25">
      <c r="A23" s="10"/>
      <c r="B23" s="10"/>
      <c r="C23" s="1"/>
      <c r="D23" s="1"/>
      <c r="E23" s="1"/>
      <c r="F23" s="1"/>
      <c r="G23" s="33"/>
      <c r="H23" s="1"/>
      <c r="I23" s="34"/>
      <c r="J23" s="1"/>
      <c r="K23" s="1"/>
      <c r="L23" s="1"/>
      <c r="M23" s="1"/>
      <c r="N23" s="1"/>
      <c r="O23" s="14"/>
    </row>
    <row r="24" spans="1:15" x14ac:dyDescent="0.25">
      <c r="A24" s="10"/>
      <c r="B24" s="10"/>
      <c r="C24" s="14"/>
      <c r="D24" s="1"/>
      <c r="E24" s="1"/>
      <c r="F24" s="1"/>
      <c r="G24" s="1"/>
      <c r="H24" s="1"/>
      <c r="I24" s="34"/>
      <c r="J24" s="1"/>
      <c r="K24" s="1"/>
      <c r="L24" s="1"/>
      <c r="M24" s="1"/>
      <c r="N24" s="1"/>
      <c r="O24" s="1"/>
    </row>
    <row r="25" spans="1:15" x14ac:dyDescent="0.25">
      <c r="I25" s="35"/>
    </row>
    <row r="27" spans="1:15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5" x14ac:dyDescent="0.25">
      <c r="A28" s="18" t="s">
        <v>62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5" x14ac:dyDescent="0.25">
      <c r="A29" s="18"/>
      <c r="B29" s="18"/>
      <c r="C29" s="18"/>
      <c r="D29" s="18" t="s">
        <v>75</v>
      </c>
      <c r="E29" s="18"/>
      <c r="F29" s="18"/>
      <c r="G29" s="18"/>
      <c r="H29" s="18"/>
      <c r="I29" s="18"/>
      <c r="J29" s="18"/>
      <c r="K29" s="18"/>
    </row>
    <row r="30" spans="1:15" x14ac:dyDescent="0.25">
      <c r="A30" s="73" t="s">
        <v>63</v>
      </c>
      <c r="B30" s="73"/>
      <c r="C30" s="14">
        <v>0.248</v>
      </c>
      <c r="D30" s="14">
        <v>0.23200000000000001</v>
      </c>
      <c r="E30" s="18"/>
      <c r="F30" s="18"/>
      <c r="G30" s="18"/>
      <c r="H30" s="18"/>
      <c r="I30" s="18"/>
      <c r="J30" s="18"/>
      <c r="K30" s="18"/>
    </row>
    <row r="31" spans="1:15" x14ac:dyDescent="0.25">
      <c r="A31" s="73" t="s">
        <v>64</v>
      </c>
      <c r="B31" s="73"/>
      <c r="C31" s="14">
        <v>0.12</v>
      </c>
      <c r="D31" s="14">
        <v>0.17799999999999999</v>
      </c>
      <c r="E31" s="18"/>
      <c r="F31" s="18"/>
      <c r="G31" s="18"/>
      <c r="H31" s="18"/>
      <c r="I31" s="18"/>
      <c r="J31" s="18"/>
      <c r="K31" s="18"/>
    </row>
    <row r="32" spans="1:15" x14ac:dyDescent="0.25">
      <c r="A32" s="73" t="s">
        <v>65</v>
      </c>
      <c r="B32" s="73"/>
      <c r="C32" s="36">
        <v>0.129</v>
      </c>
      <c r="D32" s="36">
        <v>6.3E-2</v>
      </c>
      <c r="E32" s="18"/>
      <c r="F32" s="18"/>
      <c r="G32" s="18"/>
      <c r="H32" s="18"/>
      <c r="I32" s="18"/>
      <c r="J32" s="18"/>
      <c r="K32" s="18"/>
    </row>
    <row r="33" spans="1:11" x14ac:dyDescent="0.25">
      <c r="A33" s="73" t="s">
        <v>66</v>
      </c>
      <c r="B33" s="73"/>
      <c r="C33" s="36">
        <v>0.503</v>
      </c>
      <c r="D33" s="36">
        <v>0.52700000000000002</v>
      </c>
      <c r="E33" s="18"/>
      <c r="F33" s="18"/>
      <c r="G33" s="18"/>
      <c r="H33" s="18"/>
      <c r="I33" s="18"/>
      <c r="J33" s="18"/>
      <c r="K33" s="18"/>
    </row>
  </sheetData>
  <mergeCells count="11">
    <mergeCell ref="A30:B30"/>
    <mergeCell ref="A31:B31"/>
    <mergeCell ref="A32:B32"/>
    <mergeCell ref="A33:B33"/>
    <mergeCell ref="K5:N5"/>
    <mergeCell ref="O5:O6"/>
    <mergeCell ref="A5:A6"/>
    <mergeCell ref="B5:B6"/>
    <mergeCell ref="E5:F5"/>
    <mergeCell ref="G5:J5"/>
    <mergeCell ref="C5:D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БО</vt:lpstr>
      <vt:lpstr>ИДП</vt:lpstr>
      <vt:lpstr>ИБР</vt:lpstr>
      <vt:lpstr>БО!Область_печати</vt:lpstr>
      <vt:lpstr>ИБР!Область_печати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2024-10-30T10:36:19Z</dcterms:modified>
</cp:coreProperties>
</file>