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2BD6585-D62C-4869-9D37-F5E48E5CE421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6" l="1"/>
  <c r="G18" i="6"/>
  <c r="G16" i="6"/>
  <c r="G12" i="6"/>
  <c r="J11" i="3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J22" i="3" l="1"/>
  <c r="J21" i="3"/>
  <c r="J20" i="3"/>
  <c r="J19" i="3"/>
  <c r="J18" i="3"/>
  <c r="J17" i="3"/>
  <c r="J16" i="3"/>
  <c r="J15" i="3"/>
  <c r="J14" i="3"/>
  <c r="J13" i="3"/>
  <c r="J12" i="3"/>
  <c r="J10" i="1" l="1"/>
  <c r="I10" i="1"/>
  <c r="H10" i="1"/>
  <c r="I22" i="6" l="1"/>
  <c r="H22" i="6"/>
  <c r="F22" i="6"/>
  <c r="B22" i="6"/>
  <c r="F21" i="6"/>
  <c r="F20" i="6"/>
  <c r="F19" i="6"/>
  <c r="F18" i="6"/>
  <c r="F17" i="6"/>
  <c r="F16" i="6"/>
  <c r="F15" i="6"/>
  <c r="F14" i="6"/>
  <c r="F13" i="6"/>
  <c r="F12" i="6"/>
  <c r="F11" i="6"/>
  <c r="G11" i="6" s="1"/>
  <c r="F10" i="6"/>
  <c r="G22" i="6" l="1"/>
  <c r="C23" i="3"/>
  <c r="X23" i="3"/>
  <c r="W23" i="3"/>
  <c r="D23" i="3" l="1"/>
  <c r="F11" i="3" s="1"/>
  <c r="F21" i="3" l="1"/>
  <c r="F17" i="3"/>
  <c r="F13" i="3"/>
  <c r="F12" i="3"/>
  <c r="F14" i="3"/>
  <c r="F16" i="3"/>
  <c r="F18" i="3"/>
  <c r="F20" i="3"/>
  <c r="F22" i="3"/>
  <c r="F15" i="3"/>
  <c r="F19" i="3"/>
  <c r="S23" i="3"/>
  <c r="R23" i="3"/>
  <c r="M23" i="3"/>
  <c r="L23" i="3"/>
  <c r="K23" i="3"/>
  <c r="H23" i="3"/>
  <c r="T22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T23" i="3" l="1"/>
  <c r="N23" i="3"/>
  <c r="P12" i="3" s="1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P11" i="3"/>
  <c r="U11" i="3" s="1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G2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B22" i="1"/>
  <c r="C22" i="1"/>
  <c r="D22" i="1"/>
  <c r="H21" i="1"/>
  <c r="H20" i="1"/>
  <c r="H19" i="1"/>
  <c r="H18" i="1"/>
  <c r="H17" i="1"/>
  <c r="H16" i="1"/>
  <c r="H15" i="1"/>
  <c r="H14" i="1"/>
  <c r="H13" i="1"/>
  <c r="H12" i="1"/>
  <c r="H11" i="1"/>
  <c r="G14" i="1" l="1"/>
  <c r="G10" i="1"/>
  <c r="I22" i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N10" i="1" l="1"/>
  <c r="M10" i="1"/>
  <c r="L10" i="1"/>
  <c r="K10" i="1"/>
  <c r="N22" i="1"/>
  <c r="L21" i="1"/>
  <c r="N18" i="1"/>
  <c r="K17" i="1"/>
  <c r="M17" i="1"/>
  <c r="L17" i="1"/>
  <c r="L14" i="1"/>
  <c r="M14" i="1"/>
  <c r="L13" i="1"/>
  <c r="N17" i="1"/>
  <c r="K21" i="1"/>
  <c r="M13" i="1"/>
  <c r="K18" i="1"/>
  <c r="M18" i="1"/>
  <c r="L18" i="1"/>
  <c r="K14" i="1"/>
  <c r="M15" i="1"/>
  <c r="L15" i="1"/>
  <c r="K15" i="1"/>
  <c r="K16" i="1"/>
  <c r="M16" i="1"/>
  <c r="L16" i="1"/>
  <c r="K12" i="1"/>
  <c r="M12" i="1"/>
  <c r="L12" i="1"/>
  <c r="M19" i="1"/>
  <c r="L19" i="1"/>
  <c r="K19" i="1"/>
  <c r="M11" i="1"/>
  <c r="L11" i="1"/>
  <c r="K11" i="1"/>
  <c r="M20" i="1"/>
  <c r="L20" i="1"/>
  <c r="N19" i="1"/>
  <c r="N15" i="1"/>
  <c r="N12" i="1"/>
  <c r="N21" i="1"/>
  <c r="N14" i="1"/>
  <c r="N13" i="1"/>
  <c r="N20" i="1"/>
  <c r="N16" i="1"/>
  <c r="N11" i="1"/>
  <c r="Y19" i="3"/>
  <c r="Y17" i="3"/>
  <c r="Y22" i="3"/>
  <c r="Y16" i="3"/>
  <c r="Y18" i="3"/>
  <c r="Y21" i="3"/>
  <c r="Y14" i="3"/>
  <c r="Y15" i="3"/>
  <c r="Y20" i="3"/>
  <c r="Y13" i="3"/>
  <c r="Y11" i="3"/>
  <c r="Y12" i="3"/>
  <c r="Y23" i="3" l="1"/>
  <c r="Z23" i="3" s="1"/>
  <c r="Z11" i="3" l="1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<sst xmlns="http://schemas.openxmlformats.org/spreadsheetml/2006/main" count="120" uniqueCount="87">
  <si>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</si>
  <si>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</si>
  <si>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</si>
  <si>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</si>
  <si>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</si>
  <si>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</si>
  <si>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</si>
  <si>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</si>
  <si>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</si>
  <si>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</si>
  <si>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</si>
  <si>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</si>
  <si>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</si>
  <si>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</si>
  <si>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</si>
  <si>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</si>
  <si>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</si>
  <si>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</si>
  <si>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</si>
  <si>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</si>
  <si>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</si>
  <si>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</si>
  <si>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</si>
  <si>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</si>
  <si>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</si>
  <si>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</si>
  <si>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</si>
  <si>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</si>
  <si>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</si>
  <si>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</si>
  <si>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</si>
  <si>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</si>
  <si>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</si>
  <si>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</si>
  <si>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</si>
  <si>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</si>
  <si>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</si>
  <si>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</si>
  <si>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</si>
  <si>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</si>
  <si>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</si>
  <si>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</si>
  <si>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</si>
  <si>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</si>
  <si>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</si>
  <si>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</si>
  <si>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</si>
  <si>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</si>
  <si>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</si>
  <si>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</si>
  <si>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</si>
  <si>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</si>
  <si>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</si>
  <si>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</si>
  <si>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</si>
  <si>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</si>
  <si>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</si>
  <si>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</si>
  <si>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</si>
  <si>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</si>
  <si>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</si>
  <si>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</si>
  <si>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</si>
  <si>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</si>
  <si>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</si>
  <si>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</si>
  <si>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</si>
  <si>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</si>
  <si>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</si>
  <si>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</si>
  <si>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</si>
  <si>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</si>
  <si>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color theme="1"/>
        <rFont val="Calibri"/>
        <family val="2"/>
        <charset val="204"/>
      </rPr>
      <t>Σгр.</t>
    </r>
    <r>
      <rPr>
        <b/>
        <sz val="11"/>
        <color theme="1"/>
        <rFont val="Calibri"/>
        <family val="2"/>
        <charset val="204"/>
        <scheme val="minor"/>
      </rPr>
      <t>1/12)/гр.1</t>
    </r>
  </si>
  <si>
    <t xml:space="preserve">   Расчет распределения на 2023 год дотации на выравнивания бюджетной обеспеченности поселений Краснокутского района</t>
  </si>
  <si>
    <t>Утверждено на 2023  год ( решение Собрания депутатов "О бюджете Краснокутского муниципального района на 2021 год и на плановый период 2022 и 2023  годов)</t>
  </si>
  <si>
    <t xml:space="preserve"> Расчет индекса  бюджетных расходов поселений Краснокутского  района на 2023 год</t>
  </si>
  <si>
    <t>ФОТ, прогноз на 2023год, тыс. руб</t>
  </si>
  <si>
    <t>Сумма налога по 5-НДФЛ за 2020 год</t>
  </si>
  <si>
    <t xml:space="preserve">Прогноз налога на доходы физических лиц на 2023 год,    руб        </t>
  </si>
  <si>
    <t>Сумма налога к уплате в бюджет  по форме 5-МН за 2020 год.  Рублей</t>
  </si>
  <si>
    <t xml:space="preserve">Прогноз налога на имущество физических лиц       на 2023 год,   рублей     </t>
  </si>
  <si>
    <t>Земельный налог, по форме 5-МН за 2020год</t>
  </si>
  <si>
    <t>Прогноз  земельного  налога   на 2023 год</t>
  </si>
  <si>
    <t>Расчет индекса доходного потенциала поселений Краснокутского района на 2023год ( продолжение)</t>
  </si>
  <si>
    <t>Расчет индекса доходного потенциала поселений Краснокутского района на 2023 год</t>
  </si>
  <si>
    <t>14=гр.10*0,216+гр.11*0,154+гр.12*0,07+гр.13*0,56</t>
  </si>
  <si>
    <t>5=82845439/32205*(0,420 гр.4)*гр.3*гр.1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</si>
</sst>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/>
    <xf numFmtId="0" fontId="1" fillId="3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Border="1"/>
    <xf numFmtId="0" fontId="4" fillId="0" borderId="4" xfId="0" applyFont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/>
    <xf numFmtId="0" fontId="4" fillId="0" borderId="4" xfId="0" applyFont="1" applyBorder="1"/>
    <xf numFmtId="0" fontId="4" fillId="0" borderId="0" xfId="0" applyFont="1"/>
    <xf numFmtId="0" fontId="0" fillId="0" borderId="7" xfId="0" applyFont="1" applyBorder="1"/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/>
    <xf numFmtId="0" fontId="7" fillId="0" borderId="0" xfId="0" applyFont="1" applyAlignment="1"/>
    <xf numFmtId="0" fontId="0" fillId="0" borderId="0" xfId="0" applyFont="1" applyBorder="1"/>
    <xf numFmtId="0" fontId="4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4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5" fontId="0" fillId="3" borderId="4" xfId="0" applyNumberFormat="1" applyFont="1" applyFill="1" applyBorder="1"/>
    <xf numFmtId="0" fontId="0" fillId="3" borderId="4" xfId="0" applyFont="1" applyFill="1" applyBorder="1"/>
    <xf numFmtId="0" fontId="0" fillId="0" borderId="0" xfId="0" applyFont="1" applyFill="1" applyAlignment="1">
      <alignment horizontal="center"/>
    </xf>
    <xf numFmtId="0" fontId="4" fillId="2" borderId="4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Fill="1"/>
    <xf numFmtId="0" fontId="8" fillId="0" borderId="7" xfId="0" applyFont="1" applyFill="1" applyBorder="1"/>
    <xf numFmtId="0" fontId="5" fillId="0" borderId="0" xfId="0" applyFont="1" applyFill="1" applyAlignment="1">
      <alignment horizontal="center"/>
    </xf>
    <xf numFmtId="0" fontId="4" fillId="3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8" fillId="2" borderId="0" xfId="0" applyFont="1" applyFill="1"/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1" fontId="8" fillId="0" borderId="0" xfId="0" applyNumberFormat="1" applyFont="1" applyFill="1"/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Border="1"/>
    <xf numFmtId="1" fontId="0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" fontId="8" fillId="0" borderId="2" xfId="0" applyNumberFormat="1" applyFont="1" applyFill="1" applyBorder="1"/>
    <xf numFmtId="1" fontId="8" fillId="0" borderId="4" xfId="0" applyNumberFormat="1" applyFont="1" applyFill="1" applyBorder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4" fillId="0" borderId="4" xfId="0" applyFont="1" applyFill="1" applyBorder="1" applyAlignment="1">
      <alignment horizontal="right"/>
    </xf>
    <xf numFmtId="0" fontId="9" fillId="0" borderId="4" xfId="0" applyFont="1" applyFill="1" applyBorder="1"/>
    <xf numFmtId="166" fontId="8" fillId="0" borderId="4" xfId="0" applyNumberFormat="1" applyFont="1" applyFill="1" applyBorder="1"/>
    <xf numFmtId="164" fontId="0" fillId="0" borderId="4" xfId="0" applyNumberFormat="1" applyFont="1" applyFill="1" applyBorder="1"/>
    <xf numFmtId="164" fontId="4" fillId="0" borderId="4" xfId="0" applyNumberFormat="1" applyFont="1" applyFill="1" applyBorder="1"/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wrapText="1"/>
    </xf>
    <xf numFmtId="0" fontId="0" fillId="0" borderId="3" xfId="0" applyNumberFormat="1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J29"/>
  <sheetViews>
    <sheetView topLeftCell="A4" zoomScaleNormal="100" workbookViewId="0">
      <selection activeCell="I12" sqref="I12"/>
    </sheetView>
  </sheetViews>
  <sheetFormatPr defaultRowHeight="15" x14ac:dyDescent="0.25"/>
  <cols>
    <col min="1" max="1" width="23.5703125" style="1" customWidth="1"/>
    <col min="2" max="2" width="13.85546875" style="1" customWidth="1"/>
    <col min="3" max="3" width="14.140625" style="1" hidden="1" customWidth="1"/>
    <col min="4" max="4" width="18.28515625" style="1" customWidth="1"/>
    <col min="5" max="5" width="13.140625" style="1" customWidth="1"/>
    <col min="6" max="6" width="13.28515625" style="1" customWidth="1"/>
    <col min="7" max="7" width="24" style="1" customWidth="1"/>
    <col min="8" max="8" width="22" style="1" customWidth="1"/>
    <col min="9" max="9" width="16.5703125" style="1" customWidth="1"/>
    <col min="10" max="10" width="15.7109375" style="1" customWidth="1"/>
    <col min="11" max="16384" width="9.140625" style="1"/>
  </cols>
  <sheetData>
    <row r="1" spans="1:10" s="27" customFormat="1" x14ac:dyDescent="0.25"/>
    <row r="2" spans="1:10" s="27" customFormat="1" x14ac:dyDescent="0.25">
      <c r="A2" s="43" t="s">
        <v>73</v>
      </c>
    </row>
    <row r="3" spans="1:10" s="27" customFormat="1" x14ac:dyDescent="0.25">
      <c r="J3" s="44"/>
    </row>
    <row r="4" spans="1:10" s="27" customFormat="1" x14ac:dyDescent="0.25">
      <c r="I4" s="27" t="s">
        <v>69</v>
      </c>
      <c r="J4" s="44"/>
    </row>
    <row r="5" spans="1:10" s="27" customFormat="1" ht="45" customHeight="1" x14ac:dyDescent="0.25">
      <c r="A5" s="123"/>
      <c r="B5" s="125" t="s">
        <v>0</v>
      </c>
      <c r="C5" s="87"/>
      <c r="D5" s="125" t="s">
        <v>38</v>
      </c>
      <c r="E5" s="125" t="s">
        <v>40</v>
      </c>
      <c r="F5" s="119" t="s">
        <v>39</v>
      </c>
      <c r="G5" s="121" t="s">
        <v>71</v>
      </c>
      <c r="H5" s="119" t="s">
        <v>74</v>
      </c>
      <c r="I5" s="121" t="s">
        <v>42</v>
      </c>
      <c r="J5" s="122"/>
    </row>
    <row r="6" spans="1:10" s="27" customFormat="1" ht="90" customHeight="1" x14ac:dyDescent="0.25">
      <c r="A6" s="124"/>
      <c r="B6" s="126"/>
      <c r="C6" s="88"/>
      <c r="D6" s="126"/>
      <c r="E6" s="126"/>
      <c r="F6" s="120"/>
      <c r="G6" s="121"/>
      <c r="H6" s="120"/>
      <c r="I6" s="121"/>
      <c r="J6" s="122"/>
    </row>
    <row r="7" spans="1:10" x14ac:dyDescent="0.25">
      <c r="A7" s="18"/>
      <c r="B7" s="20"/>
      <c r="C7" s="20"/>
      <c r="D7" s="4"/>
      <c r="E7" s="4"/>
      <c r="F7" s="4"/>
      <c r="G7" s="4"/>
      <c r="H7" s="84"/>
      <c r="I7" s="4"/>
      <c r="J7" s="89"/>
    </row>
    <row r="8" spans="1:10" ht="30" x14ac:dyDescent="0.25">
      <c r="A8" s="21"/>
      <c r="B8" s="46">
        <v>1</v>
      </c>
      <c r="C8" s="22"/>
      <c r="D8" s="59">
        <v>2</v>
      </c>
      <c r="E8" s="59">
        <v>3</v>
      </c>
      <c r="F8" s="59">
        <v>4</v>
      </c>
      <c r="G8" s="90" t="s">
        <v>86</v>
      </c>
      <c r="H8" s="109"/>
      <c r="I8" s="90"/>
      <c r="J8" s="71"/>
    </row>
    <row r="9" spans="1:10" x14ac:dyDescent="0.25">
      <c r="A9" s="2"/>
      <c r="B9" s="39"/>
      <c r="C9" s="10"/>
      <c r="D9" s="59"/>
      <c r="E9" s="59"/>
      <c r="F9" s="59"/>
      <c r="G9" s="59"/>
      <c r="H9" s="110"/>
      <c r="I9" s="59"/>
      <c r="J9" s="71"/>
    </row>
    <row r="10" spans="1:10" x14ac:dyDescent="0.25">
      <c r="A10" s="41" t="s">
        <v>8</v>
      </c>
      <c r="B10" s="41">
        <v>17185</v>
      </c>
      <c r="C10" s="11"/>
      <c r="D10" s="113">
        <v>0.89100000000000001</v>
      </c>
      <c r="E10" s="59">
        <v>0.95599999999999996</v>
      </c>
      <c r="F10" s="113">
        <f>SUM(D10/E10)</f>
        <v>0.93200836820083688</v>
      </c>
      <c r="G10" s="108"/>
      <c r="H10" s="107"/>
      <c r="I10" s="59"/>
      <c r="J10" s="71"/>
    </row>
    <row r="11" spans="1:10" x14ac:dyDescent="0.25">
      <c r="A11" s="41" t="s">
        <v>9</v>
      </c>
      <c r="B11" s="41">
        <v>1115</v>
      </c>
      <c r="C11" s="11"/>
      <c r="D11" s="113">
        <v>0.39700000000000002</v>
      </c>
      <c r="E11" s="59">
        <v>1.05</v>
      </c>
      <c r="F11" s="113">
        <f t="shared" ref="F11:F22" si="0">SUM(D11/E11)</f>
        <v>0.3780952380952381</v>
      </c>
      <c r="G11" s="108">
        <f>82845439/32205*(0.42-F11)*E11*B11</f>
        <v>126203.9198056202</v>
      </c>
      <c r="H11" s="107">
        <v>354352</v>
      </c>
      <c r="I11" s="108">
        <v>354352</v>
      </c>
      <c r="J11" s="71"/>
    </row>
    <row r="12" spans="1:10" x14ac:dyDescent="0.25">
      <c r="A12" s="41" t="s">
        <v>10</v>
      </c>
      <c r="B12" s="41">
        <v>1171</v>
      </c>
      <c r="C12" s="11"/>
      <c r="D12" s="59">
        <v>0.30399999999999999</v>
      </c>
      <c r="E12" s="59">
        <v>1.139</v>
      </c>
      <c r="F12" s="113">
        <f t="shared" si="0"/>
        <v>0.26690079016681301</v>
      </c>
      <c r="G12" s="108">
        <f>82845439/32205*(0.42-F12)*E12*B12</f>
        <v>525289.67990846827</v>
      </c>
      <c r="H12" s="107">
        <v>595342</v>
      </c>
      <c r="I12" s="108">
        <v>595342</v>
      </c>
      <c r="J12" s="71"/>
    </row>
    <row r="13" spans="1:10" x14ac:dyDescent="0.25">
      <c r="A13" s="41" t="s">
        <v>11</v>
      </c>
      <c r="B13" s="41">
        <v>1168</v>
      </c>
      <c r="C13" s="11"/>
      <c r="D13" s="59">
        <v>2.673</v>
      </c>
      <c r="E13" s="59">
        <v>1.274</v>
      </c>
      <c r="F13" s="113">
        <f t="shared" si="0"/>
        <v>2.098116169544741</v>
      </c>
      <c r="G13" s="108"/>
      <c r="H13" s="107"/>
      <c r="I13" s="108"/>
      <c r="J13" s="71"/>
    </row>
    <row r="14" spans="1:10" x14ac:dyDescent="0.25">
      <c r="A14" s="41" t="s">
        <v>12</v>
      </c>
      <c r="B14" s="41">
        <v>1450</v>
      </c>
      <c r="C14" s="11"/>
      <c r="D14" s="59">
        <v>2.3260000000000001</v>
      </c>
      <c r="E14" s="59">
        <v>0.96299999999999997</v>
      </c>
      <c r="F14" s="113">
        <f t="shared" si="0"/>
        <v>2.4153686396677054</v>
      </c>
      <c r="G14" s="108"/>
      <c r="H14" s="107"/>
      <c r="I14" s="108"/>
      <c r="J14" s="71"/>
    </row>
    <row r="15" spans="1:10" x14ac:dyDescent="0.25">
      <c r="A15" s="41" t="s">
        <v>13</v>
      </c>
      <c r="B15" s="41">
        <v>909</v>
      </c>
      <c r="C15" s="11"/>
      <c r="D15" s="113">
        <v>5.1779999999999999</v>
      </c>
      <c r="E15" s="59">
        <v>1.161</v>
      </c>
      <c r="F15" s="113">
        <f t="shared" si="0"/>
        <v>4.4599483204134369</v>
      </c>
      <c r="G15" s="108"/>
      <c r="H15" s="107"/>
      <c r="I15" s="108"/>
      <c r="J15" s="71"/>
    </row>
    <row r="16" spans="1:10" x14ac:dyDescent="0.25">
      <c r="A16" s="41" t="s">
        <v>14</v>
      </c>
      <c r="B16" s="41">
        <v>1088</v>
      </c>
      <c r="C16" s="11"/>
      <c r="D16" s="59">
        <v>0.33500000000000002</v>
      </c>
      <c r="E16" s="59">
        <v>1.129</v>
      </c>
      <c r="F16" s="113">
        <f t="shared" si="0"/>
        <v>0.2967227635075288</v>
      </c>
      <c r="G16" s="108">
        <f>82845439/32205*(0.42-F16)*E16*B16</f>
        <v>389539.07410718082</v>
      </c>
      <c r="H16" s="107">
        <v>254454</v>
      </c>
      <c r="I16" s="108">
        <v>389539</v>
      </c>
      <c r="J16" s="71"/>
    </row>
    <row r="17" spans="1:10" x14ac:dyDescent="0.25">
      <c r="A17" s="41" t="s">
        <v>15</v>
      </c>
      <c r="B17" s="41">
        <v>1403</v>
      </c>
      <c r="C17" s="11"/>
      <c r="D17" s="59">
        <v>0.97</v>
      </c>
      <c r="E17" s="59">
        <v>0.998</v>
      </c>
      <c r="F17" s="113">
        <f t="shared" si="0"/>
        <v>0.97194388777555107</v>
      </c>
      <c r="G17" s="108"/>
      <c r="H17" s="107"/>
      <c r="I17" s="108"/>
      <c r="J17" s="71"/>
    </row>
    <row r="18" spans="1:10" x14ac:dyDescent="0.25">
      <c r="A18" s="41" t="s">
        <v>16</v>
      </c>
      <c r="B18" s="41">
        <v>1905</v>
      </c>
      <c r="C18" s="11"/>
      <c r="D18" s="59">
        <v>0.35199999999999998</v>
      </c>
      <c r="E18" s="59">
        <v>0.97099999999999997</v>
      </c>
      <c r="F18" s="113">
        <f t="shared" si="0"/>
        <v>0.36251287332646753</v>
      </c>
      <c r="G18" s="108">
        <f>82845439/32205*(0.42-F18)*E18*B18</f>
        <v>273545.83858055895</v>
      </c>
      <c r="H18" s="107">
        <v>166747</v>
      </c>
      <c r="I18" s="108">
        <v>273546</v>
      </c>
      <c r="J18" s="71"/>
    </row>
    <row r="19" spans="1:10" x14ac:dyDescent="0.25">
      <c r="A19" s="41" t="s">
        <v>17</v>
      </c>
      <c r="B19" s="41">
        <v>1921</v>
      </c>
      <c r="C19" s="11"/>
      <c r="D19" s="113">
        <v>0.56299999999999994</v>
      </c>
      <c r="E19" s="59">
        <v>0.872</v>
      </c>
      <c r="F19" s="113">
        <f t="shared" si="0"/>
        <v>0.64564220183486232</v>
      </c>
      <c r="G19" s="108"/>
      <c r="H19" s="107"/>
      <c r="I19" s="108"/>
      <c r="J19" s="71"/>
    </row>
    <row r="20" spans="1:10" x14ac:dyDescent="0.25">
      <c r="A20" s="41" t="s">
        <v>18</v>
      </c>
      <c r="B20" s="41">
        <v>1496</v>
      </c>
      <c r="C20" s="11"/>
      <c r="D20" s="59">
        <v>0.38600000000000001</v>
      </c>
      <c r="E20" s="59">
        <v>0.94199999999999995</v>
      </c>
      <c r="F20" s="113">
        <f t="shared" si="0"/>
        <v>0.40976645435244163</v>
      </c>
      <c r="G20" s="108">
        <f>82845439/32205*(0.42-F20)*E20*B20</f>
        <v>37098.293054251073</v>
      </c>
      <c r="H20" s="107"/>
      <c r="I20" s="108">
        <v>37098</v>
      </c>
      <c r="J20" s="71"/>
    </row>
    <row r="21" spans="1:10" x14ac:dyDescent="0.25">
      <c r="A21" s="41" t="s">
        <v>19</v>
      </c>
      <c r="B21" s="41">
        <v>1394</v>
      </c>
      <c r="C21" s="11"/>
      <c r="D21" s="113">
        <v>0.60299999999999998</v>
      </c>
      <c r="E21" s="113">
        <v>0.96899999999999997</v>
      </c>
      <c r="F21" s="113">
        <f t="shared" si="0"/>
        <v>0.62229102167182659</v>
      </c>
      <c r="G21" s="108"/>
      <c r="H21" s="107"/>
      <c r="I21" s="59"/>
      <c r="J21" s="71"/>
    </row>
    <row r="22" spans="1:10" x14ac:dyDescent="0.25">
      <c r="A22" s="41" t="s">
        <v>7</v>
      </c>
      <c r="B22" s="47">
        <f t="shared" ref="B22" si="1">SUM(B10:B21)</f>
        <v>32205</v>
      </c>
      <c r="C22" s="23"/>
      <c r="D22" s="59">
        <v>1</v>
      </c>
      <c r="E22" s="59">
        <v>1</v>
      </c>
      <c r="F22" s="113">
        <f t="shared" si="0"/>
        <v>1</v>
      </c>
      <c r="G22" s="108">
        <f>SUM(G11:G20)</f>
        <v>1351676.8054560793</v>
      </c>
      <c r="H22" s="107">
        <f>SUM(H11:H21)</f>
        <v>1370895</v>
      </c>
      <c r="I22" s="108">
        <f>SUM(I11:I20)</f>
        <v>1649877</v>
      </c>
      <c r="J22" s="71"/>
    </row>
    <row r="23" spans="1:10" x14ac:dyDescent="0.25">
      <c r="A23" s="41"/>
      <c r="B23" s="4"/>
      <c r="C23" s="11"/>
      <c r="D23" s="59"/>
      <c r="E23" s="59"/>
      <c r="F23" s="59"/>
      <c r="G23" s="108"/>
      <c r="H23" s="107"/>
      <c r="I23" s="59"/>
      <c r="J23" s="71"/>
    </row>
    <row r="24" spans="1:10" x14ac:dyDescent="0.25">
      <c r="A24" s="41"/>
      <c r="B24" s="4"/>
      <c r="C24" s="11"/>
      <c r="D24" s="59"/>
      <c r="E24" s="59"/>
      <c r="F24" s="59"/>
      <c r="G24" s="108"/>
      <c r="H24" s="107"/>
      <c r="I24" s="59"/>
      <c r="J24" s="71"/>
    </row>
    <row r="25" spans="1:10" x14ac:dyDescent="0.25">
      <c r="B25" s="5"/>
      <c r="D25" s="70"/>
      <c r="E25" s="70"/>
      <c r="F25" s="70"/>
      <c r="G25" s="70"/>
      <c r="H25" s="70"/>
      <c r="I25" s="91"/>
      <c r="J25" s="70"/>
    </row>
    <row r="26" spans="1:10" x14ac:dyDescent="0.25">
      <c r="D26" s="5"/>
      <c r="E26" s="5"/>
      <c r="F26" s="5"/>
      <c r="G26" s="5"/>
      <c r="H26" s="5"/>
      <c r="I26" s="5"/>
      <c r="J26" s="5"/>
    </row>
    <row r="27" spans="1:10" x14ac:dyDescent="0.25">
      <c r="A27" s="69" t="s">
        <v>41</v>
      </c>
      <c r="B27" s="69"/>
      <c r="C27" s="69">
        <v>63668130</v>
      </c>
      <c r="D27" s="70">
        <v>82845439</v>
      </c>
      <c r="E27" s="70"/>
      <c r="F27" s="5"/>
      <c r="G27" s="15"/>
      <c r="H27" s="5"/>
      <c r="I27" s="5"/>
      <c r="J27" s="5"/>
    </row>
    <row r="28" spans="1:10" x14ac:dyDescent="0.25">
      <c r="D28" s="5"/>
      <c r="E28" s="5"/>
      <c r="F28" s="5"/>
      <c r="G28" s="5"/>
      <c r="H28" s="5"/>
      <c r="I28" s="5"/>
      <c r="J28" s="5"/>
    </row>
    <row r="29" spans="1:10" x14ac:dyDescent="0.25">
      <c r="E29" s="5"/>
      <c r="F29" s="5"/>
      <c r="G29" s="5"/>
      <c r="H29" s="5"/>
      <c r="I29" s="5"/>
      <c r="J29" s="5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"/>
  <sheetViews>
    <sheetView tabSelected="1" workbookViewId="0">
      <pane xSplit="2" ySplit="9" topLeftCell="N10" activePane="bottomRight" state="frozen"/>
      <selection pane="topRight" activeCell="C1" sqref="C1"/>
      <selection pane="bottomLeft" activeCell="A9" sqref="A9"/>
      <selection pane="bottomRight" activeCell="X16" sqref="X16"/>
    </sheetView>
  </sheetViews>
  <sheetFormatPr defaultRowHeight="15" x14ac:dyDescent="0.25"/>
  <cols>
    <col min="1" max="1" width="4.140625" style="1" customWidth="1"/>
    <col min="2" max="2" width="19.7109375" style="1" customWidth="1"/>
    <col min="3" max="4" width="9.85546875" style="7" customWidth="1"/>
    <col min="5" max="5" width="11.5703125" style="1" customWidth="1"/>
    <col min="6" max="6" width="12.7109375" style="1" customWidth="1"/>
    <col min="7" max="7" width="11.7109375" style="1" customWidth="1"/>
    <col min="8" max="8" width="12.140625" style="1" customWidth="1"/>
    <col min="9" max="9" width="11.42578125" style="1" customWidth="1"/>
    <col min="10" max="10" width="13.28515625" style="1" customWidth="1"/>
    <col min="11" max="11" width="12.28515625" style="1" customWidth="1"/>
    <col min="12" max="12" width="10.28515625" style="1" customWidth="1"/>
    <col min="13" max="14" width="10.140625" style="1" customWidth="1"/>
    <col min="15" max="15" width="11.5703125" style="1" customWidth="1"/>
    <col min="16" max="16" width="11.140625" style="1" customWidth="1"/>
    <col min="17" max="17" width="1" style="1" hidden="1" customWidth="1"/>
    <col min="18" max="18" width="11" style="1" customWidth="1"/>
    <col min="19" max="19" width="11.28515625" style="1" bestFit="1" customWidth="1"/>
    <col min="20" max="20" width="10.7109375" style="1" customWidth="1"/>
    <col min="21" max="21" width="12.5703125" style="1" customWidth="1"/>
    <col min="22" max="22" width="13" style="1" customWidth="1"/>
    <col min="23" max="23" width="13" style="8" customWidth="1"/>
    <col min="24" max="24" width="14.28515625" style="8" customWidth="1"/>
    <col min="25" max="25" width="12.140625" style="8" customWidth="1"/>
    <col min="26" max="26" width="15.28515625" style="8" customWidth="1"/>
    <col min="27" max="27" width="9.42578125" style="5" bestFit="1" customWidth="1"/>
    <col min="28" max="28" width="9.140625" style="5"/>
    <col min="29" max="16384" width="9.140625" style="1"/>
  </cols>
  <sheetData>
    <row r="1" spans="1:28" ht="1.5" customHeight="1" x14ac:dyDescent="0.25"/>
    <row r="2" spans="1:28" s="27" customFormat="1" ht="4.5" customHeight="1" x14ac:dyDescent="0.25">
      <c r="C2" s="28"/>
      <c r="D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W2" s="30"/>
      <c r="X2" s="30"/>
      <c r="Y2" s="30"/>
      <c r="Z2" s="30"/>
      <c r="AA2" s="31"/>
      <c r="AB2" s="31"/>
    </row>
    <row r="3" spans="1:28" s="27" customFormat="1" ht="15" customHeight="1" x14ac:dyDescent="0.3">
      <c r="A3" s="31"/>
      <c r="B3" s="127" t="s">
        <v>84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9"/>
      <c r="O3" s="29"/>
      <c r="P3" s="127" t="s">
        <v>83</v>
      </c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31"/>
    </row>
    <row r="4" spans="1:28" s="27" customFormat="1" ht="15" customHeight="1" x14ac:dyDescent="0.3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9"/>
      <c r="O4" s="29"/>
      <c r="P4" s="32"/>
      <c r="Q4" s="32"/>
      <c r="R4" s="32"/>
      <c r="S4" s="32"/>
      <c r="T4" s="32"/>
      <c r="U4" s="32"/>
      <c r="V4" s="32"/>
      <c r="W4" s="32"/>
      <c r="X4" s="32"/>
      <c r="Y4" s="32"/>
      <c r="Z4" s="33" t="s">
        <v>68</v>
      </c>
      <c r="AA4" s="72"/>
      <c r="AB4" s="31"/>
    </row>
    <row r="5" spans="1:28" ht="6" customHeight="1" x14ac:dyDescent="0.25"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8" hidden="1" x14ac:dyDescent="0.25"/>
    <row r="7" spans="1:28" ht="15" customHeight="1" x14ac:dyDescent="0.25">
      <c r="A7" s="36"/>
      <c r="B7" s="125" t="s">
        <v>28</v>
      </c>
      <c r="C7" s="130" t="s">
        <v>29</v>
      </c>
      <c r="D7" s="131"/>
      <c r="E7" s="131"/>
      <c r="F7" s="131"/>
      <c r="G7" s="132"/>
      <c r="H7" s="133" t="s">
        <v>44</v>
      </c>
      <c r="I7" s="133"/>
      <c r="J7" s="133"/>
      <c r="K7" s="133"/>
      <c r="L7" s="134"/>
      <c r="M7" s="134"/>
      <c r="N7" s="134"/>
      <c r="O7" s="134"/>
      <c r="P7" s="135"/>
      <c r="Q7" s="135"/>
      <c r="R7" s="135"/>
      <c r="S7" s="135"/>
      <c r="T7" s="136"/>
      <c r="U7" s="119" t="s">
        <v>67</v>
      </c>
      <c r="V7" s="119" t="s">
        <v>32</v>
      </c>
      <c r="W7" s="128" t="s">
        <v>48</v>
      </c>
      <c r="X7" s="121" t="s">
        <v>36</v>
      </c>
      <c r="Y7" s="121" t="s">
        <v>37</v>
      </c>
      <c r="Z7" s="121" t="s">
        <v>38</v>
      </c>
    </row>
    <row r="8" spans="1:28" s="19" customFormat="1" ht="122.25" customHeight="1" x14ac:dyDescent="0.25">
      <c r="A8" s="60" t="s">
        <v>30</v>
      </c>
      <c r="B8" s="129"/>
      <c r="C8" s="61" t="s">
        <v>76</v>
      </c>
      <c r="D8" s="61" t="s">
        <v>77</v>
      </c>
      <c r="E8" s="61" t="s">
        <v>78</v>
      </c>
      <c r="F8" s="61" t="s">
        <v>43</v>
      </c>
      <c r="G8" s="61" t="s">
        <v>31</v>
      </c>
      <c r="H8" s="62" t="s">
        <v>79</v>
      </c>
      <c r="I8" s="62" t="s">
        <v>45</v>
      </c>
      <c r="J8" s="62" t="s">
        <v>46</v>
      </c>
      <c r="K8" s="62" t="s">
        <v>80</v>
      </c>
      <c r="L8" s="137" t="s">
        <v>81</v>
      </c>
      <c r="M8" s="138"/>
      <c r="N8" s="139"/>
      <c r="O8" s="61" t="s">
        <v>45</v>
      </c>
      <c r="P8" s="63" t="s">
        <v>46</v>
      </c>
      <c r="Q8" s="52"/>
      <c r="R8" s="137" t="s">
        <v>82</v>
      </c>
      <c r="S8" s="138"/>
      <c r="T8" s="139"/>
      <c r="U8" s="120"/>
      <c r="V8" s="120"/>
      <c r="W8" s="128"/>
      <c r="X8" s="121"/>
      <c r="Y8" s="121"/>
      <c r="Z8" s="121"/>
      <c r="AA8" s="85"/>
      <c r="AB8" s="85"/>
    </row>
    <row r="9" spans="1:28" s="25" customFormat="1" x14ac:dyDescent="0.25">
      <c r="A9" s="37">
        <v>1</v>
      </c>
      <c r="B9" s="34">
        <v>2</v>
      </c>
      <c r="C9" s="61">
        <v>3</v>
      </c>
      <c r="D9" s="61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61">
        <v>12</v>
      </c>
      <c r="M9" s="61">
        <v>13</v>
      </c>
      <c r="N9" s="61">
        <v>14</v>
      </c>
      <c r="O9" s="80">
        <v>15</v>
      </c>
      <c r="P9" s="80">
        <v>16</v>
      </c>
      <c r="Q9" s="34"/>
      <c r="R9" s="61">
        <v>17</v>
      </c>
      <c r="S9" s="61">
        <v>18</v>
      </c>
      <c r="T9" s="61">
        <v>19</v>
      </c>
      <c r="U9" s="80">
        <v>20</v>
      </c>
      <c r="V9" s="80">
        <v>21</v>
      </c>
      <c r="W9" s="80">
        <v>22</v>
      </c>
      <c r="X9" s="37">
        <v>23</v>
      </c>
      <c r="Y9" s="37">
        <v>24</v>
      </c>
      <c r="Z9" s="37">
        <v>25</v>
      </c>
      <c r="AA9" s="86"/>
      <c r="AB9" s="86"/>
    </row>
    <row r="10" spans="1:28" s="3" customFormat="1" ht="40.5" customHeight="1" x14ac:dyDescent="0.25">
      <c r="A10" s="38"/>
      <c r="B10" s="39"/>
      <c r="C10" s="64"/>
      <c r="D10" s="74"/>
      <c r="E10" s="39"/>
      <c r="F10" s="35"/>
      <c r="G10" s="35"/>
      <c r="H10" s="97"/>
      <c r="I10" s="97"/>
      <c r="J10" s="97"/>
      <c r="K10" s="98"/>
      <c r="L10" s="78" t="s">
        <v>33</v>
      </c>
      <c r="M10" s="78" t="s">
        <v>34</v>
      </c>
      <c r="N10" s="79" t="s">
        <v>7</v>
      </c>
      <c r="O10" s="77"/>
      <c r="P10" s="35"/>
      <c r="Q10" s="73"/>
      <c r="R10" s="81" t="s">
        <v>33</v>
      </c>
      <c r="S10" s="81" t="s">
        <v>35</v>
      </c>
      <c r="T10" s="82" t="s">
        <v>7</v>
      </c>
      <c r="U10" s="77" t="s">
        <v>47</v>
      </c>
      <c r="V10" s="77" t="s">
        <v>51</v>
      </c>
      <c r="W10" s="35"/>
      <c r="X10" s="35"/>
      <c r="Y10" s="64" t="s">
        <v>49</v>
      </c>
      <c r="Z10" s="64" t="s">
        <v>50</v>
      </c>
      <c r="AA10" s="13"/>
      <c r="AB10" s="14"/>
    </row>
    <row r="11" spans="1:28" x14ac:dyDescent="0.25">
      <c r="A11" s="40">
        <v>1</v>
      </c>
      <c r="B11" s="41" t="s">
        <v>8</v>
      </c>
      <c r="C11" s="92">
        <v>1354946</v>
      </c>
      <c r="D11" s="92">
        <v>17600152</v>
      </c>
      <c r="E11" s="94"/>
      <c r="F11" s="95">
        <f>D11/D23*E23</f>
        <v>18083128.319476172</v>
      </c>
      <c r="G11" s="95">
        <v>17614298</v>
      </c>
      <c r="H11" s="95">
        <v>3899000</v>
      </c>
      <c r="I11" s="95"/>
      <c r="J11" s="95">
        <f>SUM(H11/H23*I23)</f>
        <v>4504174.053472098</v>
      </c>
      <c r="K11" s="92">
        <v>4400000</v>
      </c>
      <c r="L11" s="99">
        <v>1994000</v>
      </c>
      <c r="M11" s="100">
        <v>9105000</v>
      </c>
      <c r="N11" s="100">
        <f>L11+M11</f>
        <v>11099000</v>
      </c>
      <c r="O11" s="92"/>
      <c r="P11" s="95">
        <f>N11/N23*O23</f>
        <v>12725756.037408151</v>
      </c>
      <c r="Q11" s="65"/>
      <c r="R11" s="92">
        <v>3226500</v>
      </c>
      <c r="S11" s="64">
        <v>8642000</v>
      </c>
      <c r="T11" s="64">
        <f>R11+S11</f>
        <v>11868500</v>
      </c>
      <c r="U11" s="103">
        <f>F11+P11+J11</f>
        <v>35313058.410356417</v>
      </c>
      <c r="V11" s="103">
        <f t="shared" ref="V11:V22" si="0">T11+K11+G11</f>
        <v>33882798</v>
      </c>
      <c r="W11" s="41">
        <v>17185</v>
      </c>
      <c r="X11" s="103">
        <v>981260</v>
      </c>
      <c r="Y11" s="103">
        <f>U11+X11</f>
        <v>36294318.410356417</v>
      </c>
      <c r="Z11" s="104">
        <f>SUM(Y11/W11)/(Y23/W23)</f>
        <v>0.8907120777636266</v>
      </c>
      <c r="AA11" s="15"/>
    </row>
    <row r="12" spans="1:28" x14ac:dyDescent="0.25">
      <c r="A12" s="40">
        <v>2</v>
      </c>
      <c r="B12" s="41" t="s">
        <v>9</v>
      </c>
      <c r="C12" s="92">
        <v>22683</v>
      </c>
      <c r="D12" s="92">
        <v>263781</v>
      </c>
      <c r="E12" s="94"/>
      <c r="F12" s="95">
        <f>D12/D23*E23</f>
        <v>271019.57251504099</v>
      </c>
      <c r="G12" s="95">
        <v>294879</v>
      </c>
      <c r="H12" s="95">
        <v>77000</v>
      </c>
      <c r="I12" s="95"/>
      <c r="J12" s="95">
        <f>SUM(H12/H23*I23)</f>
        <v>88951.372689754178</v>
      </c>
      <c r="K12" s="92">
        <v>92000</v>
      </c>
      <c r="L12" s="99">
        <v>249000</v>
      </c>
      <c r="M12" s="99">
        <v>298000</v>
      </c>
      <c r="N12" s="100">
        <f t="shared" ref="N12:N22" si="1">L12+M12</f>
        <v>547000</v>
      </c>
      <c r="O12" s="92"/>
      <c r="P12" s="95">
        <f>N12/N23*O23</f>
        <v>627172.58784235141</v>
      </c>
      <c r="Q12" s="65"/>
      <c r="R12" s="92">
        <v>483600</v>
      </c>
      <c r="S12" s="92">
        <v>214500</v>
      </c>
      <c r="T12" s="64">
        <f t="shared" ref="T12:T22" si="2">R12+S12</f>
        <v>698100</v>
      </c>
      <c r="U12" s="103">
        <f t="shared" ref="U12:U22" si="3">F12+P12+J12</f>
        <v>987143.53304714663</v>
      </c>
      <c r="V12" s="103">
        <f t="shared" si="0"/>
        <v>1084979</v>
      </c>
      <c r="W12" s="41">
        <v>1115</v>
      </c>
      <c r="X12" s="103">
        <v>63670</v>
      </c>
      <c r="Y12" s="103">
        <f t="shared" ref="Y12:Y22" si="4">U12+X12</f>
        <v>1050813.5330471466</v>
      </c>
      <c r="Z12" s="104">
        <f>SUM(Y12/W12)/(Y23/W23)</f>
        <v>0.39746511997038864</v>
      </c>
      <c r="AA12" s="15"/>
    </row>
    <row r="13" spans="1:28" x14ac:dyDescent="0.25">
      <c r="A13" s="40">
        <v>3</v>
      </c>
      <c r="B13" s="41" t="s">
        <v>10</v>
      </c>
      <c r="C13" s="92">
        <v>33051</v>
      </c>
      <c r="D13" s="92">
        <v>367870</v>
      </c>
      <c r="E13" s="94"/>
      <c r="F13" s="95">
        <f>D13/D23*E23</f>
        <v>377964.94114855933</v>
      </c>
      <c r="G13" s="95">
        <v>429663</v>
      </c>
      <c r="H13" s="95">
        <v>82000</v>
      </c>
      <c r="I13" s="95"/>
      <c r="J13" s="95">
        <f>SUM(H13/H23*I23)</f>
        <v>94727.435851426519</v>
      </c>
      <c r="K13" s="92">
        <v>103000</v>
      </c>
      <c r="L13" s="99">
        <v>166000</v>
      </c>
      <c r="M13" s="99">
        <v>100000</v>
      </c>
      <c r="N13" s="100">
        <f t="shared" si="1"/>
        <v>266000</v>
      </c>
      <c r="O13" s="92"/>
      <c r="P13" s="95">
        <f>N13/N23*O23</f>
        <v>304987.03540414164</v>
      </c>
      <c r="Q13" s="65"/>
      <c r="R13" s="92">
        <v>308200</v>
      </c>
      <c r="S13" s="92">
        <v>119500</v>
      </c>
      <c r="T13" s="64">
        <f t="shared" si="2"/>
        <v>427700</v>
      </c>
      <c r="U13" s="103">
        <f t="shared" si="3"/>
        <v>777679.41240412754</v>
      </c>
      <c r="V13" s="103">
        <f t="shared" si="0"/>
        <v>960363</v>
      </c>
      <c r="W13" s="41">
        <v>1171</v>
      </c>
      <c r="X13" s="103">
        <v>66860</v>
      </c>
      <c r="Y13" s="103">
        <f t="shared" si="4"/>
        <v>844539.41240412754</v>
      </c>
      <c r="Z13" s="104">
        <f>SUM(Y13/W13)/(Y23/W23)</f>
        <v>0.30416641523957355</v>
      </c>
      <c r="AA13" s="15"/>
    </row>
    <row r="14" spans="1:28" x14ac:dyDescent="0.25">
      <c r="A14" s="40">
        <v>4</v>
      </c>
      <c r="B14" s="41" t="s">
        <v>11</v>
      </c>
      <c r="C14" s="92">
        <v>56999</v>
      </c>
      <c r="D14" s="92">
        <v>452270</v>
      </c>
      <c r="E14" s="94"/>
      <c r="F14" s="95">
        <f>D14/D23*E23</f>
        <v>464681.01213270699</v>
      </c>
      <c r="G14" s="95">
        <v>740987</v>
      </c>
      <c r="H14" s="95">
        <v>82000</v>
      </c>
      <c r="I14" s="95"/>
      <c r="J14" s="95">
        <f>SUM(H14/H23*I23)</f>
        <v>94727.435851426519</v>
      </c>
      <c r="K14" s="92">
        <v>125000</v>
      </c>
      <c r="L14" s="99">
        <v>363000</v>
      </c>
      <c r="M14" s="99">
        <v>5548000</v>
      </c>
      <c r="N14" s="100">
        <f t="shared" si="1"/>
        <v>5911000</v>
      </c>
      <c r="O14" s="92"/>
      <c r="P14" s="95">
        <f>N14/N23*O23</f>
        <v>6777362.2792251166</v>
      </c>
      <c r="Q14" s="65"/>
      <c r="R14" s="92">
        <v>740900</v>
      </c>
      <c r="S14" s="92">
        <v>5989800</v>
      </c>
      <c r="T14" s="64">
        <f t="shared" si="2"/>
        <v>6730700</v>
      </c>
      <c r="U14" s="103">
        <f t="shared" si="3"/>
        <v>7336770.7272092504</v>
      </c>
      <c r="V14" s="103">
        <f t="shared" si="0"/>
        <v>7596687</v>
      </c>
      <c r="W14" s="41">
        <v>1168</v>
      </c>
      <c r="X14" s="103">
        <v>66690</v>
      </c>
      <c r="Y14" s="103">
        <f t="shared" si="4"/>
        <v>7403460.7272092504</v>
      </c>
      <c r="Z14" s="104">
        <f>SUM(Y14/W14)/(Y23/W23)</f>
        <v>2.6732536404043263</v>
      </c>
      <c r="AA14" s="15"/>
    </row>
    <row r="15" spans="1:28" x14ac:dyDescent="0.25">
      <c r="A15" s="40">
        <v>5</v>
      </c>
      <c r="B15" s="41" t="s">
        <v>12</v>
      </c>
      <c r="C15" s="92">
        <v>48118</v>
      </c>
      <c r="D15" s="92">
        <v>609461</v>
      </c>
      <c r="E15" s="94"/>
      <c r="F15" s="95">
        <f>D15/D23*E23</f>
        <v>626185.58457428473</v>
      </c>
      <c r="G15" s="95">
        <v>625534</v>
      </c>
      <c r="H15" s="95">
        <v>133000</v>
      </c>
      <c r="I15" s="95"/>
      <c r="J15" s="95">
        <f>SUM(H15/H23*I23)</f>
        <v>153643.2801004845</v>
      </c>
      <c r="K15" s="92">
        <v>285000</v>
      </c>
      <c r="L15" s="99">
        <v>381000</v>
      </c>
      <c r="M15" s="99">
        <v>5841000</v>
      </c>
      <c r="N15" s="100">
        <f t="shared" si="1"/>
        <v>6222000</v>
      </c>
      <c r="O15" s="92"/>
      <c r="P15" s="95">
        <f>N15/N23*O23</f>
        <v>7133944.8657314628</v>
      </c>
      <c r="Q15" s="65"/>
      <c r="R15" s="92">
        <v>782500</v>
      </c>
      <c r="S15" s="92">
        <v>6176600</v>
      </c>
      <c r="T15" s="64">
        <f t="shared" si="2"/>
        <v>6959100</v>
      </c>
      <c r="U15" s="103">
        <f t="shared" si="3"/>
        <v>7913773.7304062322</v>
      </c>
      <c r="V15" s="103">
        <f t="shared" si="0"/>
        <v>7869634</v>
      </c>
      <c r="W15" s="41">
        <v>1450</v>
      </c>
      <c r="X15" s="103">
        <v>82800</v>
      </c>
      <c r="Y15" s="103">
        <f t="shared" si="4"/>
        <v>7996573.7304062322</v>
      </c>
      <c r="Z15" s="104">
        <f>SUM(Y15/W15)/(Y23/W23)</f>
        <v>2.3258632487895823</v>
      </c>
      <c r="AA15" s="15"/>
    </row>
    <row r="16" spans="1:28" x14ac:dyDescent="0.25">
      <c r="A16" s="40">
        <v>6</v>
      </c>
      <c r="B16" s="41" t="s">
        <v>13</v>
      </c>
      <c r="C16" s="92">
        <v>23032</v>
      </c>
      <c r="D16" s="92">
        <v>299174</v>
      </c>
      <c r="E16" s="94"/>
      <c r="F16" s="95">
        <f>D16/D23*E23</f>
        <v>307383.81304041942</v>
      </c>
      <c r="G16" s="95">
        <v>299416</v>
      </c>
      <c r="H16" s="95">
        <v>56000</v>
      </c>
      <c r="I16" s="95"/>
      <c r="J16" s="95">
        <f>SUM(H16/H23*I23)</f>
        <v>64691.907410730309</v>
      </c>
      <c r="K16" s="92">
        <v>65000</v>
      </c>
      <c r="L16" s="99">
        <v>232000</v>
      </c>
      <c r="M16" s="99">
        <v>9132000</v>
      </c>
      <c r="N16" s="100">
        <f t="shared" si="1"/>
        <v>9364000</v>
      </c>
      <c r="O16" s="92"/>
      <c r="P16" s="95">
        <f>N16/N23*O23</f>
        <v>10736460.900467603</v>
      </c>
      <c r="Q16" s="65"/>
      <c r="R16" s="92">
        <v>388200</v>
      </c>
      <c r="S16" s="92">
        <v>9462300</v>
      </c>
      <c r="T16" s="64">
        <f t="shared" si="2"/>
        <v>9850500</v>
      </c>
      <c r="U16" s="103">
        <f t="shared" si="3"/>
        <v>11108536.620918751</v>
      </c>
      <c r="V16" s="103">
        <f t="shared" si="0"/>
        <v>10214916</v>
      </c>
      <c r="W16" s="41">
        <v>909</v>
      </c>
      <c r="X16" s="103">
        <v>51900</v>
      </c>
      <c r="Y16" s="103">
        <f t="shared" si="4"/>
        <v>11160436.620918751</v>
      </c>
      <c r="Z16" s="104">
        <f>SUM(Y16/W16)/(Y23/W23)</f>
        <v>5.1780415977503109</v>
      </c>
      <c r="AA16" s="15"/>
    </row>
    <row r="17" spans="1:28" x14ac:dyDescent="0.25">
      <c r="A17" s="40">
        <v>7</v>
      </c>
      <c r="B17" s="41" t="s">
        <v>14</v>
      </c>
      <c r="C17" s="92">
        <v>20618</v>
      </c>
      <c r="D17" s="92">
        <v>269667</v>
      </c>
      <c r="E17" s="94"/>
      <c r="F17" s="95">
        <f>D17/D23*E23</f>
        <v>277067.09376874589</v>
      </c>
      <c r="G17" s="95">
        <v>268034</v>
      </c>
      <c r="H17" s="95">
        <v>71000</v>
      </c>
      <c r="I17" s="95"/>
      <c r="J17" s="95">
        <f>SUM(H17/H23*I23)</f>
        <v>82020.096895747352</v>
      </c>
      <c r="K17" s="92">
        <v>165000</v>
      </c>
      <c r="L17" s="99">
        <v>315000</v>
      </c>
      <c r="M17" s="99">
        <v>71000</v>
      </c>
      <c r="N17" s="100">
        <f t="shared" si="1"/>
        <v>386000</v>
      </c>
      <c r="O17" s="92"/>
      <c r="P17" s="95">
        <f>N17/N23*O23</f>
        <v>442575.17167668673</v>
      </c>
      <c r="Q17" s="65"/>
      <c r="R17" s="92">
        <v>666400</v>
      </c>
      <c r="S17" s="92">
        <v>140400</v>
      </c>
      <c r="T17" s="64">
        <f t="shared" si="2"/>
        <v>806800</v>
      </c>
      <c r="U17" s="103">
        <f t="shared" si="3"/>
        <v>801662.36234117998</v>
      </c>
      <c r="V17" s="103">
        <f t="shared" si="0"/>
        <v>1239834</v>
      </c>
      <c r="W17" s="41">
        <v>1088</v>
      </c>
      <c r="X17" s="103">
        <v>62120</v>
      </c>
      <c r="Y17" s="103">
        <f t="shared" si="4"/>
        <v>863782.36234117998</v>
      </c>
      <c r="Z17" s="104">
        <f>SUM(Y17/W17)/(Y23/W23)</f>
        <v>0.33482946527254837</v>
      </c>
      <c r="AA17" s="15"/>
    </row>
    <row r="18" spans="1:28" x14ac:dyDescent="0.25">
      <c r="A18" s="40">
        <v>8</v>
      </c>
      <c r="B18" s="41" t="s">
        <v>15</v>
      </c>
      <c r="C18" s="92">
        <v>154164</v>
      </c>
      <c r="D18" s="92">
        <v>1904945</v>
      </c>
      <c r="E18" s="94"/>
      <c r="F18" s="95">
        <f>D18/D23*E23</f>
        <v>1957219.7374513885</v>
      </c>
      <c r="G18" s="95">
        <v>2004132</v>
      </c>
      <c r="H18" s="95">
        <v>134000</v>
      </c>
      <c r="I18" s="95"/>
      <c r="J18" s="95">
        <f>SUM(H18/H23*I23)</f>
        <v>154798.49273281897</v>
      </c>
      <c r="K18" s="92">
        <v>210000</v>
      </c>
      <c r="L18" s="99">
        <v>483000</v>
      </c>
      <c r="M18" s="99">
        <v>419000</v>
      </c>
      <c r="N18" s="100">
        <v>902000</v>
      </c>
      <c r="O18" s="92"/>
      <c r="P18" s="95">
        <f>N18/N23*O23</f>
        <v>1034204.1576486306</v>
      </c>
      <c r="Q18" s="65"/>
      <c r="R18" s="92">
        <v>927500</v>
      </c>
      <c r="S18" s="92">
        <v>427900</v>
      </c>
      <c r="T18" s="64">
        <f t="shared" si="2"/>
        <v>1355400</v>
      </c>
      <c r="U18" s="103">
        <f t="shared" si="3"/>
        <v>3146222.3878328381</v>
      </c>
      <c r="V18" s="103">
        <f t="shared" si="0"/>
        <v>3569532</v>
      </c>
      <c r="W18" s="41">
        <v>1403</v>
      </c>
      <c r="X18" s="103">
        <v>80110</v>
      </c>
      <c r="Y18" s="103">
        <f t="shared" si="4"/>
        <v>3226332.3878328381</v>
      </c>
      <c r="Z18" s="104">
        <f>SUM(Y18/W18)/(Y23/W23)</f>
        <v>0.96983905633334833</v>
      </c>
      <c r="AA18" s="15"/>
    </row>
    <row r="19" spans="1:28" x14ac:dyDescent="0.25">
      <c r="A19" s="40">
        <v>9</v>
      </c>
      <c r="B19" s="41" t="s">
        <v>16</v>
      </c>
      <c r="C19" s="92">
        <v>26574</v>
      </c>
      <c r="D19" s="92">
        <v>292194</v>
      </c>
      <c r="E19" s="94"/>
      <c r="F19" s="95">
        <f>D19/D23*E23</f>
        <v>300212.27067703853</v>
      </c>
      <c r="G19" s="95">
        <v>345462</v>
      </c>
      <c r="H19" s="95">
        <v>257000</v>
      </c>
      <c r="I19" s="95"/>
      <c r="J19" s="95">
        <f>SUM(H19/H23*I23)</f>
        <v>296889.64650995872</v>
      </c>
      <c r="K19" s="92">
        <v>275000</v>
      </c>
      <c r="L19" s="99">
        <v>568000</v>
      </c>
      <c r="M19" s="99">
        <v>205000</v>
      </c>
      <c r="N19" s="100">
        <f t="shared" si="1"/>
        <v>773000</v>
      </c>
      <c r="O19" s="92"/>
      <c r="P19" s="95">
        <f>N19/N23*O23</f>
        <v>886296.91115564457</v>
      </c>
      <c r="Q19" s="65"/>
      <c r="R19" s="92">
        <v>877700</v>
      </c>
      <c r="S19" s="92">
        <v>268000</v>
      </c>
      <c r="T19" s="64">
        <f t="shared" si="2"/>
        <v>1145700</v>
      </c>
      <c r="U19" s="103">
        <f t="shared" si="3"/>
        <v>1483398.8283426417</v>
      </c>
      <c r="V19" s="103">
        <f t="shared" si="0"/>
        <v>1766162</v>
      </c>
      <c r="W19" s="41">
        <v>1905</v>
      </c>
      <c r="X19" s="103">
        <v>108780</v>
      </c>
      <c r="Y19" s="103">
        <f t="shared" si="4"/>
        <v>1592178.8283426417</v>
      </c>
      <c r="Z19" s="104">
        <f>SUM(Y19/W19)/(Y23/W23)</f>
        <v>0.3524886175173218</v>
      </c>
      <c r="AA19" s="15"/>
    </row>
    <row r="20" spans="1:28" x14ac:dyDescent="0.25">
      <c r="A20" s="40">
        <v>10</v>
      </c>
      <c r="B20" s="41" t="s">
        <v>17</v>
      </c>
      <c r="C20" s="92">
        <v>106787</v>
      </c>
      <c r="D20" s="92">
        <v>1288680</v>
      </c>
      <c r="E20" s="94"/>
      <c r="F20" s="95">
        <f>D20/D23*E23</f>
        <v>1324043.4402352066</v>
      </c>
      <c r="G20" s="95">
        <v>1388231</v>
      </c>
      <c r="H20" s="95">
        <v>154000</v>
      </c>
      <c r="I20" s="95"/>
      <c r="J20" s="95">
        <f>SUM(H20/H23*I23)</f>
        <v>177902.74537950836</v>
      </c>
      <c r="K20" s="92">
        <v>178000</v>
      </c>
      <c r="L20" s="99">
        <v>467000</v>
      </c>
      <c r="M20" s="99">
        <v>365000</v>
      </c>
      <c r="N20" s="100">
        <f t="shared" si="1"/>
        <v>832000</v>
      </c>
      <c r="O20" s="92"/>
      <c r="P20" s="95">
        <f>N20/N23*O23</f>
        <v>953944.41148964607</v>
      </c>
      <c r="Q20" s="65"/>
      <c r="R20" s="92">
        <v>971800</v>
      </c>
      <c r="S20" s="92">
        <v>455200</v>
      </c>
      <c r="T20" s="64">
        <f t="shared" si="2"/>
        <v>1427000</v>
      </c>
      <c r="U20" s="103">
        <f t="shared" si="3"/>
        <v>2455890.5971043613</v>
      </c>
      <c r="V20" s="103">
        <f t="shared" si="0"/>
        <v>2993231</v>
      </c>
      <c r="W20" s="41">
        <v>1921</v>
      </c>
      <c r="X20" s="103">
        <v>109690</v>
      </c>
      <c r="Y20" s="103">
        <f t="shared" si="4"/>
        <v>2565580.5971043613</v>
      </c>
      <c r="Z20" s="104">
        <f>SUM(Y20/W20)/(Y23/W23)</f>
        <v>0.56325691261856536</v>
      </c>
      <c r="AA20" s="15"/>
    </row>
    <row r="21" spans="1:28" x14ac:dyDescent="0.25">
      <c r="A21" s="40">
        <v>11</v>
      </c>
      <c r="B21" s="41" t="s">
        <v>18</v>
      </c>
      <c r="C21" s="92">
        <v>45250</v>
      </c>
      <c r="D21" s="92">
        <v>579793</v>
      </c>
      <c r="E21" s="94"/>
      <c r="F21" s="95">
        <f>D21/D23*E23</f>
        <v>595703.44720511779</v>
      </c>
      <c r="G21" s="95">
        <v>588250</v>
      </c>
      <c r="H21" s="95">
        <v>168000</v>
      </c>
      <c r="I21" s="95"/>
      <c r="J21" s="95">
        <f>SUM(H21/H23*I23)</f>
        <v>194075.72223219092</v>
      </c>
      <c r="K21" s="92">
        <v>260000</v>
      </c>
      <c r="L21" s="99">
        <v>241000</v>
      </c>
      <c r="M21" s="99">
        <v>191000</v>
      </c>
      <c r="N21" s="100">
        <f t="shared" si="1"/>
        <v>432000</v>
      </c>
      <c r="O21" s="92"/>
      <c r="P21" s="95">
        <f>N21/N23*O23</f>
        <v>495317.29058116232</v>
      </c>
      <c r="Q21" s="65"/>
      <c r="R21" s="92">
        <v>462800</v>
      </c>
      <c r="S21" s="92">
        <v>237500</v>
      </c>
      <c r="T21" s="64">
        <f t="shared" si="2"/>
        <v>700300</v>
      </c>
      <c r="U21" s="103">
        <f t="shared" si="3"/>
        <v>1285096.4600184709</v>
      </c>
      <c r="V21" s="103">
        <f t="shared" si="0"/>
        <v>1548550</v>
      </c>
      <c r="W21" s="41">
        <v>1496</v>
      </c>
      <c r="X21" s="103">
        <v>85420</v>
      </c>
      <c r="Y21" s="103">
        <f t="shared" si="4"/>
        <v>1370516.4600184709</v>
      </c>
      <c r="Z21" s="104">
        <f>SUM(Y21/W21)/(Y23/W23)</f>
        <v>0.3863677733160345</v>
      </c>
      <c r="AA21" s="15"/>
    </row>
    <row r="22" spans="1:28" x14ac:dyDescent="0.25">
      <c r="A22" s="40">
        <v>12</v>
      </c>
      <c r="B22" s="41" t="s">
        <v>19</v>
      </c>
      <c r="C22" s="92">
        <v>44271</v>
      </c>
      <c r="D22" s="92">
        <v>574047</v>
      </c>
      <c r="E22" s="94"/>
      <c r="F22" s="95">
        <f>D22/D23*E23</f>
        <v>589799.76777532022</v>
      </c>
      <c r="G22" s="95">
        <v>575523</v>
      </c>
      <c r="H22" s="95">
        <v>460000</v>
      </c>
      <c r="I22" s="95"/>
      <c r="J22" s="95">
        <f>SUM(H22/H23*I23)</f>
        <v>531397.81087385607</v>
      </c>
      <c r="K22" s="92">
        <v>280000</v>
      </c>
      <c r="L22" s="99">
        <v>475000</v>
      </c>
      <c r="M22" s="99">
        <v>216000</v>
      </c>
      <c r="N22" s="100">
        <f t="shared" si="1"/>
        <v>691000</v>
      </c>
      <c r="O22" s="92"/>
      <c r="P22" s="95">
        <f>N22/N23*O23</f>
        <v>792278.35136940551</v>
      </c>
      <c r="Q22" s="65"/>
      <c r="R22" s="92">
        <v>435300</v>
      </c>
      <c r="S22" s="92">
        <v>505200</v>
      </c>
      <c r="T22" s="64">
        <f t="shared" si="2"/>
        <v>940500</v>
      </c>
      <c r="U22" s="103">
        <f t="shared" si="3"/>
        <v>1913475.9300185817</v>
      </c>
      <c r="V22" s="103">
        <f t="shared" si="0"/>
        <v>1796023</v>
      </c>
      <c r="W22" s="41">
        <v>1394</v>
      </c>
      <c r="X22" s="103">
        <v>79600</v>
      </c>
      <c r="Y22" s="103">
        <f t="shared" si="4"/>
        <v>1993075.9300185817</v>
      </c>
      <c r="Z22" s="104">
        <f>SUM(Y22/W22)/(Y23/W23)</f>
        <v>0.60298888011736029</v>
      </c>
      <c r="AA22" s="15"/>
    </row>
    <row r="23" spans="1:28" s="6" customFormat="1" ht="16.5" customHeight="1" x14ac:dyDescent="0.25">
      <c r="A23" s="42"/>
      <c r="B23" s="41" t="s">
        <v>7</v>
      </c>
      <c r="C23" s="93">
        <f>SUM(C11:C22)</f>
        <v>1936493</v>
      </c>
      <c r="D23" s="93">
        <f>SUM(D11:D22)</f>
        <v>24502034</v>
      </c>
      <c r="E23" s="96">
        <v>25174409</v>
      </c>
      <c r="F23" s="96">
        <f>SUM(F11:F22)</f>
        <v>25174409.000000004</v>
      </c>
      <c r="G23" s="96">
        <f>SUM(G11:G22)</f>
        <v>25174409</v>
      </c>
      <c r="H23" s="96">
        <f t="shared" ref="H23:K23" si="5">SUM(H11:H22)</f>
        <v>5573000</v>
      </c>
      <c r="I23" s="96">
        <v>6438000</v>
      </c>
      <c r="J23" s="96">
        <f t="shared" si="5"/>
        <v>6438000</v>
      </c>
      <c r="K23" s="96">
        <f t="shared" si="5"/>
        <v>6438000</v>
      </c>
      <c r="L23" s="101">
        <f t="shared" ref="L23:N23" si="6">SUM(L11:L22)</f>
        <v>5934000</v>
      </c>
      <c r="M23" s="101">
        <f t="shared" si="6"/>
        <v>31491000</v>
      </c>
      <c r="N23" s="101">
        <f t="shared" si="6"/>
        <v>37425000</v>
      </c>
      <c r="O23" s="92">
        <v>42910300</v>
      </c>
      <c r="P23" s="96">
        <f t="shared" ref="P23" si="7">SUM(P11:P22)</f>
        <v>42910299.999999993</v>
      </c>
      <c r="Q23" s="65"/>
      <c r="R23" s="93">
        <f t="shared" ref="R23:Y23" si="8">SUM(R11:R22)</f>
        <v>10271400</v>
      </c>
      <c r="S23" s="96">
        <f t="shared" si="8"/>
        <v>32638900</v>
      </c>
      <c r="T23" s="93">
        <f t="shared" si="8"/>
        <v>42910300</v>
      </c>
      <c r="U23" s="96">
        <f>SUM(U11:U22)</f>
        <v>74522709</v>
      </c>
      <c r="V23" s="96">
        <f t="shared" si="8"/>
        <v>74522709</v>
      </c>
      <c r="W23" s="111">
        <f t="shared" ref="W23" si="9">SUM(W11:W22)</f>
        <v>32205</v>
      </c>
      <c r="X23" s="105">
        <f>SUM(X11:X22)</f>
        <v>1838900</v>
      </c>
      <c r="Y23" s="96">
        <f t="shared" si="8"/>
        <v>76361609</v>
      </c>
      <c r="Z23" s="106">
        <f>SUM(Y23/W23)/(Y23/W23)</f>
        <v>1</v>
      </c>
      <c r="AA23" s="26"/>
      <c r="AB23" s="16"/>
    </row>
    <row r="24" spans="1:28" x14ac:dyDescent="0.25">
      <c r="A24" s="36"/>
      <c r="B24" s="41"/>
      <c r="C24" s="92"/>
      <c r="D24" s="92"/>
      <c r="E24" s="41"/>
      <c r="F24" s="41"/>
      <c r="G24" s="41"/>
      <c r="H24" s="41"/>
      <c r="I24" s="41"/>
      <c r="J24" s="41"/>
      <c r="K24" s="41"/>
      <c r="L24" s="47"/>
      <c r="M24" s="47"/>
      <c r="N24" s="47"/>
      <c r="O24" s="41"/>
      <c r="P24" s="41"/>
      <c r="Q24" s="66"/>
      <c r="R24" s="41"/>
      <c r="S24" s="41"/>
      <c r="T24" s="41"/>
      <c r="U24" s="41"/>
      <c r="V24" s="41"/>
      <c r="W24" s="99"/>
      <c r="X24" s="99"/>
      <c r="Y24" s="99"/>
      <c r="Z24" s="99"/>
    </row>
    <row r="25" spans="1:28" x14ac:dyDescent="0.25">
      <c r="A25" s="36"/>
      <c r="B25" s="41"/>
      <c r="C25" s="92"/>
      <c r="D25" s="9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66"/>
      <c r="R25" s="41"/>
      <c r="S25" s="41"/>
      <c r="T25" s="41"/>
      <c r="U25" s="41"/>
      <c r="V25" s="41"/>
      <c r="W25" s="99"/>
      <c r="X25" s="99"/>
      <c r="Y25" s="99"/>
      <c r="Z25" s="99"/>
    </row>
    <row r="26" spans="1:28" x14ac:dyDescent="0.25">
      <c r="B26" s="5"/>
      <c r="C26" s="17"/>
      <c r="D26" s="17"/>
      <c r="E26" s="5"/>
      <c r="F26" s="5"/>
      <c r="G26" s="76"/>
      <c r="H26" s="5"/>
      <c r="I26" s="5"/>
      <c r="J26" s="5"/>
      <c r="K26" s="5"/>
      <c r="L26" s="102"/>
      <c r="M26" s="102"/>
      <c r="N26" s="102"/>
      <c r="O26" s="5"/>
      <c r="P26" s="5"/>
      <c r="Q26" s="12"/>
      <c r="R26" s="5"/>
      <c r="S26" s="5"/>
      <c r="T26" s="5"/>
      <c r="U26" s="5"/>
      <c r="V26" s="5"/>
      <c r="W26" s="9"/>
      <c r="X26" s="67"/>
      <c r="Y26" s="67"/>
      <c r="Z26" s="67"/>
    </row>
    <row r="27" spans="1:28" x14ac:dyDescent="0.25">
      <c r="C27" s="17"/>
      <c r="D27" s="75"/>
      <c r="E27" s="76"/>
      <c r="F27" s="76"/>
      <c r="G27" s="76"/>
      <c r="H27" s="5"/>
      <c r="I27" s="5"/>
      <c r="J27" s="5"/>
      <c r="K27" s="76"/>
      <c r="L27" s="76"/>
      <c r="M27" s="76"/>
      <c r="N27" s="76"/>
      <c r="O27" s="76"/>
      <c r="P27" s="76"/>
      <c r="Q27" s="12"/>
      <c r="R27" s="76"/>
      <c r="S27" s="76"/>
      <c r="T27" s="76"/>
      <c r="U27" s="76"/>
      <c r="V27" s="76"/>
      <c r="W27" s="9"/>
      <c r="X27" s="9"/>
      <c r="Y27" s="9"/>
      <c r="Z27" s="9"/>
    </row>
    <row r="28" spans="1:28" x14ac:dyDescent="0.25">
      <c r="R28" s="76"/>
      <c r="S28" s="76"/>
      <c r="T28" s="76"/>
      <c r="U28" s="76"/>
      <c r="V28" s="76"/>
      <c r="W28" s="9"/>
      <c r="X28" s="9"/>
      <c r="Y28" s="9"/>
      <c r="Z28" s="9"/>
    </row>
    <row r="29" spans="1:28" x14ac:dyDescent="0.25">
      <c r="W29" s="9"/>
      <c r="X29" s="9"/>
      <c r="Y29" s="9"/>
      <c r="Z29" s="9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opLeftCell="A7" zoomScaleNormal="100" workbookViewId="0">
      <selection activeCell="C16" sqref="C16"/>
    </sheetView>
  </sheetViews>
  <sheetFormatPr defaultRowHeight="15" x14ac:dyDescent="0.25"/>
  <cols>
    <col min="1" max="1" width="23" style="1" customWidth="1"/>
    <col min="2" max="2" width="13.140625" style="1" customWidth="1"/>
    <col min="3" max="3" width="12.28515625" style="1" customWidth="1"/>
    <col min="4" max="4" width="11.140625" style="1" customWidth="1"/>
    <col min="5" max="5" width="10.28515625" style="1" customWidth="1"/>
    <col min="6" max="6" width="13.140625" style="1" customWidth="1"/>
    <col min="7" max="8" width="9.85546875" style="1" customWidth="1"/>
    <col min="9" max="9" width="9.7109375" style="1" bestFit="1" customWidth="1"/>
    <col min="10" max="10" width="13.7109375" style="1" customWidth="1"/>
    <col min="11" max="11" width="14.42578125" style="1" customWidth="1"/>
    <col min="12" max="12" width="17.28515625" style="1" customWidth="1"/>
    <col min="13" max="13" width="11.7109375" style="1" customWidth="1"/>
    <col min="14" max="14" width="16.7109375" style="1" customWidth="1"/>
    <col min="15" max="15" width="20.28515625" style="1" customWidth="1"/>
    <col min="16" max="16384" width="9.140625" style="1"/>
  </cols>
  <sheetData>
    <row r="1" spans="1:16" s="27" customFormat="1" x14ac:dyDescent="0.25"/>
    <row r="2" spans="1:16" s="27" customFormat="1" ht="18.75" x14ac:dyDescent="0.3">
      <c r="B2" s="48" t="s">
        <v>75</v>
      </c>
      <c r="C2" s="48"/>
      <c r="D2" s="48"/>
      <c r="E2" s="48"/>
      <c r="F2" s="48"/>
    </row>
    <row r="3" spans="1:16" s="27" customFormat="1" x14ac:dyDescent="0.25"/>
    <row r="4" spans="1:16" s="27" customFormat="1" x14ac:dyDescent="0.25">
      <c r="O4" s="49" t="s">
        <v>70</v>
      </c>
    </row>
    <row r="5" spans="1:16" s="27" customFormat="1" ht="15" customHeight="1" x14ac:dyDescent="0.25">
      <c r="A5" s="123"/>
      <c r="B5" s="140" t="s">
        <v>0</v>
      </c>
      <c r="C5" s="142" t="s">
        <v>1</v>
      </c>
      <c r="D5" s="143"/>
      <c r="E5" s="142" t="s">
        <v>20</v>
      </c>
      <c r="F5" s="143"/>
      <c r="G5" s="142" t="s">
        <v>2</v>
      </c>
      <c r="H5" s="144"/>
      <c r="I5" s="144"/>
      <c r="J5" s="143"/>
      <c r="K5" s="146" t="s">
        <v>56</v>
      </c>
      <c r="L5" s="146"/>
      <c r="M5" s="146"/>
      <c r="N5" s="146"/>
      <c r="O5" s="121" t="s">
        <v>61</v>
      </c>
    </row>
    <row r="6" spans="1:16" s="54" customFormat="1" ht="114.75" customHeight="1" x14ac:dyDescent="0.25">
      <c r="A6" s="124"/>
      <c r="B6" s="141"/>
      <c r="C6" s="50" t="s">
        <v>3</v>
      </c>
      <c r="D6" s="50" t="s">
        <v>4</v>
      </c>
      <c r="E6" s="51" t="s">
        <v>22</v>
      </c>
      <c r="F6" s="51" t="s">
        <v>21</v>
      </c>
      <c r="G6" s="52" t="s">
        <v>5</v>
      </c>
      <c r="H6" s="52" t="s">
        <v>6</v>
      </c>
      <c r="I6" s="52" t="s">
        <v>27</v>
      </c>
      <c r="J6" s="52" t="s">
        <v>23</v>
      </c>
      <c r="K6" s="53" t="s">
        <v>52</v>
      </c>
      <c r="L6" s="53" t="s">
        <v>53</v>
      </c>
      <c r="M6" s="53" t="s">
        <v>54</v>
      </c>
      <c r="N6" s="53" t="s">
        <v>55</v>
      </c>
      <c r="O6" s="121"/>
    </row>
    <row r="7" spans="1:16" s="54" customFormat="1" ht="27.75" customHeight="1" x14ac:dyDescent="0.25">
      <c r="A7" s="55"/>
      <c r="B7" s="45"/>
      <c r="C7" s="50"/>
      <c r="D7" s="50"/>
      <c r="E7" s="46"/>
      <c r="F7" s="56"/>
      <c r="G7" s="52"/>
      <c r="H7" s="52"/>
      <c r="I7" s="52"/>
      <c r="J7" s="52"/>
      <c r="K7" s="57"/>
      <c r="L7" s="57"/>
      <c r="M7" s="58"/>
      <c r="N7" s="58"/>
      <c r="O7" s="58"/>
    </row>
    <row r="8" spans="1:16" s="54" customFormat="1" x14ac:dyDescent="0.25">
      <c r="A8" s="46"/>
      <c r="B8" s="46">
        <v>1</v>
      </c>
      <c r="C8" s="46">
        <v>2</v>
      </c>
      <c r="D8" s="46">
        <v>3</v>
      </c>
      <c r="E8" s="46">
        <v>4</v>
      </c>
      <c r="F8" s="46">
        <v>5</v>
      </c>
      <c r="G8" s="46">
        <v>6</v>
      </c>
      <c r="H8" s="46">
        <v>7</v>
      </c>
      <c r="I8" s="46">
        <v>8</v>
      </c>
      <c r="J8" s="46">
        <v>9</v>
      </c>
      <c r="K8" s="58">
        <v>10</v>
      </c>
      <c r="L8" s="58">
        <v>11</v>
      </c>
      <c r="M8" s="58">
        <v>12</v>
      </c>
      <c r="N8" s="58">
        <v>13</v>
      </c>
      <c r="O8" s="46">
        <v>14</v>
      </c>
    </row>
    <row r="9" spans="1:16" s="3" customFormat="1" ht="92.25" customHeight="1" x14ac:dyDescent="0.25">
      <c r="A9" s="2"/>
      <c r="B9" s="2"/>
      <c r="C9" s="2"/>
      <c r="D9" s="2"/>
      <c r="E9" s="2"/>
      <c r="F9" s="2"/>
      <c r="G9" s="68" t="s">
        <v>72</v>
      </c>
      <c r="H9" s="46" t="s">
        <v>24</v>
      </c>
      <c r="I9" s="46" t="s">
        <v>25</v>
      </c>
      <c r="J9" s="46" t="s">
        <v>26</v>
      </c>
      <c r="K9" s="39" t="s">
        <v>57</v>
      </c>
      <c r="L9" s="39" t="s">
        <v>58</v>
      </c>
      <c r="M9" s="39" t="s">
        <v>59</v>
      </c>
      <c r="N9" s="39" t="s">
        <v>60</v>
      </c>
      <c r="O9" s="90" t="s">
        <v>85</v>
      </c>
      <c r="P9" s="14"/>
    </row>
    <row r="10" spans="1:16" x14ac:dyDescent="0.25">
      <c r="A10" s="41" t="s">
        <v>8</v>
      </c>
      <c r="B10" s="41">
        <v>17185</v>
      </c>
      <c r="C10" s="41">
        <v>436</v>
      </c>
      <c r="D10" s="59">
        <v>13966</v>
      </c>
      <c r="E10" s="59">
        <v>2211.2199999999998</v>
      </c>
      <c r="F10" s="59">
        <v>39.14</v>
      </c>
      <c r="G10" s="114">
        <f>0.6+0.4*(B22/12)/B10</f>
        <v>0.66246726796624966</v>
      </c>
      <c r="H10" s="114">
        <f>SUM(C10/B10+1)</f>
        <v>1.0253709630491707</v>
      </c>
      <c r="I10" s="114">
        <f>SUM(D10/B10+1)</f>
        <v>1.8126854815245854</v>
      </c>
      <c r="J10" s="41">
        <f>0.9+0.1*(0.8*E10/E22+0.2*F10/F22)</f>
        <v>1</v>
      </c>
      <c r="K10" s="114">
        <f>SUM(B10*G10/B10)/(B22*G22/B22)</f>
        <v>0.66246726796624966</v>
      </c>
      <c r="L10" s="114">
        <f>SUM(B10*G10*J10/B10)/(B22*G22*J22/B22)</f>
        <v>0.66246726796624966</v>
      </c>
      <c r="M10" s="114">
        <f xml:space="preserve"> SUM(B10*G10*J10/B10)/(B22*G22*J22/B22)</f>
        <v>0.66246726796624966</v>
      </c>
      <c r="N10" s="114">
        <f>SUM(B10*H10*I10/B10)/(B22*H22*I22/B22)</f>
        <v>1.2023711378890158</v>
      </c>
      <c r="O10" s="113">
        <f>SUM(K10*0.216+L10*0.154+M10*0.07+N10*0.56)</f>
        <v>0.96481343512299889</v>
      </c>
      <c r="P10" s="5"/>
    </row>
    <row r="11" spans="1:16" x14ac:dyDescent="0.25">
      <c r="A11" s="41" t="s">
        <v>9</v>
      </c>
      <c r="B11" s="41">
        <v>1115</v>
      </c>
      <c r="C11" s="41">
        <v>0</v>
      </c>
      <c r="D11" s="4"/>
      <c r="E11" s="59">
        <v>2211.2199999999998</v>
      </c>
      <c r="F11" s="59">
        <v>39.14</v>
      </c>
      <c r="G11" s="114">
        <f>0.6+0.4*(B22/12)/B11</f>
        <v>1.5627802690582959</v>
      </c>
      <c r="H11" s="114">
        <f t="shared" ref="H11:H22" si="0">SUM(C11/B11+1)</f>
        <v>1</v>
      </c>
      <c r="I11" s="114">
        <v>1</v>
      </c>
      <c r="J11" s="41">
        <f>0.9+0.1*(0.8*E11/E22+0.2*F11/F22)</f>
        <v>1</v>
      </c>
      <c r="K11" s="114">
        <f>SUM(B11*G11/B11)/(B22*G22/B22)</f>
        <v>1.5627802690582959</v>
      </c>
      <c r="L11" s="114">
        <f>SUM(B11*G11*J11/B11)/(B22*G22*J22/B22)</f>
        <v>1.5627802690582959</v>
      </c>
      <c r="M11" s="114">
        <f xml:space="preserve"> SUM(B11*G11*J11/B11)/(B22*G22*J22/B22)</f>
        <v>1.5627802690582959</v>
      </c>
      <c r="N11" s="114">
        <f>SUM(B11*H11*I11/B11)/(B22*H22*I22/B22)</f>
        <v>0.64689690259792543</v>
      </c>
      <c r="O11" s="113">
        <f t="shared" ref="O11:O22" si="1">SUM(K11*0.216+L11*0.154+M11*0.07+N11*0.56)</f>
        <v>1.0498855838404886</v>
      </c>
      <c r="P11" s="5"/>
    </row>
    <row r="12" spans="1:16" x14ac:dyDescent="0.25">
      <c r="A12" s="41" t="s">
        <v>10</v>
      </c>
      <c r="B12" s="41">
        <v>1171</v>
      </c>
      <c r="C12" s="41">
        <v>352</v>
      </c>
      <c r="D12" s="4"/>
      <c r="E12" s="59">
        <v>2211.2199999999998</v>
      </c>
      <c r="F12" s="59">
        <v>39.14</v>
      </c>
      <c r="G12" s="114">
        <f>0.6+0.4*(B22/12)/B12</f>
        <v>1.5167378309137489</v>
      </c>
      <c r="H12" s="114">
        <f t="shared" si="0"/>
        <v>1.3005977796754911</v>
      </c>
      <c r="I12" s="114">
        <v>1</v>
      </c>
      <c r="J12" s="41">
        <f>0.9+0.1*(0.8*E12/E22+0.2*F12/F22)</f>
        <v>1</v>
      </c>
      <c r="K12" s="114">
        <f>SUM(B12*G12/B12)/(B22*G22/B22)</f>
        <v>1.5167378309137489</v>
      </c>
      <c r="L12" s="114">
        <f>SUM(B12*G12*J12/B12)/(B22*G22*J22/B22)</f>
        <v>1.5167378309137489</v>
      </c>
      <c r="M12" s="114">
        <f xml:space="preserve"> SUM(B12*G12*J12/B12)/(B22*G22*J22/B22)</f>
        <v>1.5167378309137489</v>
      </c>
      <c r="N12" s="114">
        <f>SUM(B12*H12*I12/B12)/(B22*H22*I22/B22)</f>
        <v>0.8413526751978142</v>
      </c>
      <c r="O12" s="113">
        <f t="shared" si="1"/>
        <v>1.1385221437128255</v>
      </c>
      <c r="P12" s="5"/>
    </row>
    <row r="13" spans="1:16" x14ac:dyDescent="0.25">
      <c r="A13" s="41" t="s">
        <v>11</v>
      </c>
      <c r="B13" s="41">
        <v>1168</v>
      </c>
      <c r="C13" s="41">
        <v>786</v>
      </c>
      <c r="D13" s="4"/>
      <c r="E13" s="59">
        <v>2211.2199999999998</v>
      </c>
      <c r="F13" s="59">
        <v>39.14</v>
      </c>
      <c r="G13" s="114">
        <f>0.6+0.4*(B22/12)/B13</f>
        <v>1.5190924657534246</v>
      </c>
      <c r="H13" s="114">
        <f t="shared" si="0"/>
        <v>1.672945205479452</v>
      </c>
      <c r="I13" s="114">
        <v>1</v>
      </c>
      <c r="J13" s="41">
        <f>0.9+0.1*(0.8*E13/E22+0.2*F13/F22)</f>
        <v>1</v>
      </c>
      <c r="K13" s="114">
        <f>SUM(B13*G13/B13)/(B22*G22/B22)</f>
        <v>1.5190924657534246</v>
      </c>
      <c r="L13" s="114">
        <f>SUM(B13*G13*J13/B13)/(B22*G22*J22/B22)</f>
        <v>1.5190924657534246</v>
      </c>
      <c r="M13" s="114">
        <f xml:space="preserve"> SUM(B13*G13*J13/B13)/(B22*G22*J22/B22)</f>
        <v>1.5190924657534246</v>
      </c>
      <c r="N13" s="114">
        <f>SUM(B13*H13*I13/B13)/(B22*H22*I22/B22)</f>
        <v>1.0822230716407073</v>
      </c>
      <c r="O13" s="113">
        <f t="shared" si="1"/>
        <v>1.274445605050303</v>
      </c>
      <c r="P13" s="5"/>
    </row>
    <row r="14" spans="1:16" x14ac:dyDescent="0.25">
      <c r="A14" s="41" t="s">
        <v>12</v>
      </c>
      <c r="B14" s="41">
        <v>1450</v>
      </c>
      <c r="C14" s="41">
        <v>42</v>
      </c>
      <c r="D14" s="4"/>
      <c r="E14" s="59">
        <v>2211.2199999999998</v>
      </c>
      <c r="F14" s="59">
        <v>39.14</v>
      </c>
      <c r="G14" s="114">
        <f>0.6+0.4*(B22/12)/B14</f>
        <v>1.3403448275862069</v>
      </c>
      <c r="H14" s="114">
        <f t="shared" si="0"/>
        <v>1.0289655172413794</v>
      </c>
      <c r="I14" s="114">
        <v>1</v>
      </c>
      <c r="J14" s="41">
        <f>0.9+0.1*(0.8*E14/E22+0.2*F14/F22)</f>
        <v>1</v>
      </c>
      <c r="K14" s="114">
        <f>SUM(B14*G14/B14)/(B22*G22/B22)</f>
        <v>1.3403448275862069</v>
      </c>
      <c r="L14" s="114">
        <f>SUM(B14*G14*J14/B14)/(B22*G22*J22/B22)</f>
        <v>1.3403448275862069</v>
      </c>
      <c r="M14" s="114">
        <f xml:space="preserve"> SUM(B14*G14*J14/B14)/(B22*G22*J22/B22)</f>
        <v>1.3403448275862069</v>
      </c>
      <c r="N14" s="114">
        <f>SUM(B14*H14*I14/B14)/(B22*H22*I22/B22)</f>
        <v>0.66563460598352053</v>
      </c>
      <c r="O14" s="113">
        <f t="shared" si="1"/>
        <v>0.9625071034887025</v>
      </c>
      <c r="P14" s="5"/>
    </row>
    <row r="15" spans="1:16" x14ac:dyDescent="0.25">
      <c r="A15" s="41" t="s">
        <v>13</v>
      </c>
      <c r="B15" s="41">
        <v>909</v>
      </c>
      <c r="C15" s="41">
        <v>37</v>
      </c>
      <c r="D15" s="4"/>
      <c r="E15" s="59">
        <v>2211.2199999999998</v>
      </c>
      <c r="F15" s="59">
        <v>39.14</v>
      </c>
      <c r="G15" s="114">
        <f>0.6+0.4*(B22/12)/B15</f>
        <v>1.7809680968096808</v>
      </c>
      <c r="H15" s="114">
        <f t="shared" si="0"/>
        <v>1.0407040704070407</v>
      </c>
      <c r="I15" s="114">
        <v>1</v>
      </c>
      <c r="J15" s="41">
        <f>0.9+0.1*(0.8*E15/E22+0.2*F15/F22)</f>
        <v>1</v>
      </c>
      <c r="K15" s="114">
        <f>SUM(B15*G15/B15)/(B22*G22/B22)</f>
        <v>1.7809680968096808</v>
      </c>
      <c r="L15" s="114">
        <f>SUM(B15*G15*J15/B15)/(B22*G22*J22/B22)</f>
        <v>1.7809680968096808</v>
      </c>
      <c r="M15" s="114">
        <f xml:space="preserve"> SUM(B15*G15*J15/B15)/(B22*G22*J22/B22)</f>
        <v>1.7809680968096808</v>
      </c>
      <c r="N15" s="114">
        <f>SUM(B15*H15*I15/B15)/(B22*H22*I22/B22)</f>
        <v>0.67322823966736789</v>
      </c>
      <c r="O15" s="113">
        <f t="shared" si="1"/>
        <v>1.1606337768099855</v>
      </c>
      <c r="P15" s="5"/>
    </row>
    <row r="16" spans="1:16" x14ac:dyDescent="0.25">
      <c r="A16" s="41" t="s">
        <v>14</v>
      </c>
      <c r="B16" s="41">
        <v>1088</v>
      </c>
      <c r="C16" s="41">
        <v>206</v>
      </c>
      <c r="D16" s="4"/>
      <c r="E16" s="59">
        <v>2211.2199999999998</v>
      </c>
      <c r="F16" s="59">
        <v>39.14</v>
      </c>
      <c r="G16" s="114">
        <f>0.6+0.4*(B22/12)/B16</f>
        <v>1.5866727941176471</v>
      </c>
      <c r="H16" s="114">
        <f t="shared" si="0"/>
        <v>1.1893382352941178</v>
      </c>
      <c r="I16" s="114">
        <v>1</v>
      </c>
      <c r="J16" s="41">
        <f>0.9+0.1*(0.8*E16/E22+0.2*F16/F22)</f>
        <v>1</v>
      </c>
      <c r="K16" s="114">
        <f>SUM(B16*G16/B16)/(B22*G22/B22)</f>
        <v>1.5866727941176471</v>
      </c>
      <c r="L16" s="114">
        <f>SUM(B16*G16*J16/B16)/(B22*G22*J22/B22)</f>
        <v>1.5866727941176471</v>
      </c>
      <c r="M16" s="114">
        <f xml:space="preserve"> SUM(B16*G16*J16/B16)/(B22*G22*J22/B22)</f>
        <v>1.5866727941176471</v>
      </c>
      <c r="N16" s="114">
        <f>SUM(B16*H16*I16/B16)/(B22*H22*I22/B22)</f>
        <v>0.76937922055304742</v>
      </c>
      <c r="O16" s="113">
        <f t="shared" si="1"/>
        <v>1.1289883929214712</v>
      </c>
      <c r="P16" s="5"/>
    </row>
    <row r="17" spans="1:16" x14ac:dyDescent="0.25">
      <c r="A17" s="41" t="s">
        <v>15</v>
      </c>
      <c r="B17" s="41">
        <v>1403</v>
      </c>
      <c r="C17" s="41">
        <v>135</v>
      </c>
      <c r="D17" s="4"/>
      <c r="E17" s="59">
        <v>2211.2199999999998</v>
      </c>
      <c r="F17" s="59">
        <v>39.14</v>
      </c>
      <c r="G17" s="114">
        <f>0.6+0.4*(B22/12)/B17</f>
        <v>1.3651461154668567</v>
      </c>
      <c r="H17" s="114">
        <f t="shared" si="0"/>
        <v>1.0962223806129723</v>
      </c>
      <c r="I17" s="114">
        <v>1</v>
      </c>
      <c r="J17" s="41">
        <f>0.9+0.1*(0.8*E17/E22+0.2*F17/F22)</f>
        <v>1</v>
      </c>
      <c r="K17" s="114">
        <f>SUM(B17*G17/B17)/(B22*G22/B22)</f>
        <v>1.3651461154668567</v>
      </c>
      <c r="L17" s="114">
        <f>SUM(B17*G17*J17/B17)/(B22*G22*J22/B22)</f>
        <v>1.3651461154668567</v>
      </c>
      <c r="M17" s="114">
        <f xml:space="preserve"> SUM(B17*G17*J17/B17)/(B22*G22*J22/B22)</f>
        <v>1.3651461154668567</v>
      </c>
      <c r="N17" s="114">
        <f>SUM(B17*H17*I17/B17)/(B22*H22*I22/B22)</f>
        <v>0.70914286257705583</v>
      </c>
      <c r="O17" s="113">
        <f t="shared" si="1"/>
        <v>0.99778429384856826</v>
      </c>
      <c r="P17" s="5"/>
    </row>
    <row r="18" spans="1:16" x14ac:dyDescent="0.25">
      <c r="A18" s="41" t="s">
        <v>16</v>
      </c>
      <c r="B18" s="41">
        <v>1905</v>
      </c>
      <c r="C18" s="41">
        <v>509</v>
      </c>
      <c r="D18" s="4"/>
      <c r="E18" s="59">
        <v>2211.2199999999998</v>
      </c>
      <c r="F18" s="59">
        <v>39.14</v>
      </c>
      <c r="G18" s="114">
        <f>0.6+0.4*(B22/12)/B18</f>
        <v>1.1635170603674541</v>
      </c>
      <c r="H18" s="114">
        <f t="shared" si="0"/>
        <v>1.2671916010498687</v>
      </c>
      <c r="I18" s="114">
        <v>1</v>
      </c>
      <c r="J18" s="41">
        <f>0.9+0.1*(0.8*E18/E22+0.2*F18/F22)</f>
        <v>1</v>
      </c>
      <c r="K18" s="114">
        <f>SUM(B18*G18/B18)/(B22*G22/B22)</f>
        <v>1.1635170603674541</v>
      </c>
      <c r="L18" s="114">
        <f>SUM(B18*G18*J18/B18)/(B22*G22*J22/B22)</f>
        <v>1.1635170603674541</v>
      </c>
      <c r="M18" s="114">
        <f xml:space="preserve"> SUM(B18*G18*J18/B18)/(B22*G22*J22/B22)</f>
        <v>1.1635170603674541</v>
      </c>
      <c r="N18" s="114">
        <f>SUM(B18*H18*I18/B18)/(B22*H22*I22/B22)</f>
        <v>0.81974232171726602</v>
      </c>
      <c r="O18" s="113">
        <f t="shared" si="1"/>
        <v>0.97100320672334872</v>
      </c>
      <c r="P18" s="5"/>
    </row>
    <row r="19" spans="1:16" x14ac:dyDescent="0.25">
      <c r="A19" s="41" t="s">
        <v>17</v>
      </c>
      <c r="B19" s="41">
        <v>1921</v>
      </c>
      <c r="C19" s="41">
        <v>0</v>
      </c>
      <c r="D19" s="4"/>
      <c r="E19" s="59">
        <v>2211.2199999999998</v>
      </c>
      <c r="F19" s="59">
        <v>39.14</v>
      </c>
      <c r="G19" s="114">
        <f>0.6+0.4*(B22/12)/B19</f>
        <v>1.1588235294117646</v>
      </c>
      <c r="H19" s="114">
        <f t="shared" si="0"/>
        <v>1</v>
      </c>
      <c r="I19" s="114">
        <v>1</v>
      </c>
      <c r="J19" s="41">
        <f>0.9+0.1*(0.8*E19/E22+0.2*F19/F22)</f>
        <v>1</v>
      </c>
      <c r="K19" s="114">
        <f>SUM(B19*G19/B19)/(B22*G22/B22)</f>
        <v>1.1588235294117646</v>
      </c>
      <c r="L19" s="114">
        <f>SUM(B19*G19*J19/B19)/(B22*G22*J22/B22)</f>
        <v>1.1588235294117646</v>
      </c>
      <c r="M19" s="114">
        <f xml:space="preserve"> SUM(B19*G19*J19/B19)/(B22*G22*J22/B22)</f>
        <v>1.1588235294117646</v>
      </c>
      <c r="N19" s="114">
        <f>SUM(B19*H19*I19/B19)/(B22*H22*I22/B22)</f>
        <v>0.64689690259792543</v>
      </c>
      <c r="O19" s="113">
        <f t="shared" si="1"/>
        <v>0.87214461839601465</v>
      </c>
      <c r="P19" s="5"/>
    </row>
    <row r="20" spans="1:16" x14ac:dyDescent="0.25">
      <c r="A20" s="41" t="s">
        <v>18</v>
      </c>
      <c r="B20" s="41">
        <v>1496</v>
      </c>
      <c r="C20" s="41">
        <v>2</v>
      </c>
      <c r="D20" s="4"/>
      <c r="E20" s="59">
        <v>2211.2199999999998</v>
      </c>
      <c r="F20" s="59">
        <v>39.14</v>
      </c>
      <c r="G20" s="114">
        <f>0.6+0.4*(B22/12)/B20</f>
        <v>1.3175802139037431</v>
      </c>
      <c r="H20" s="114">
        <f t="shared" si="0"/>
        <v>1.0013368983957218</v>
      </c>
      <c r="I20" s="114">
        <v>1</v>
      </c>
      <c r="J20" s="41">
        <f>0.9+0.1*(0.8*E20/E22+0.2*F20/F22)</f>
        <v>1</v>
      </c>
      <c r="K20" s="114">
        <f>SUM(B20*G20/B20)/(B22*G22/B22)</f>
        <v>1.3175802139037431</v>
      </c>
      <c r="L20" s="114">
        <f>SUM(B20*G20*J20/B20)/(B22*G22*J22/B22)</f>
        <v>1.3175802139037431</v>
      </c>
      <c r="M20" s="114">
        <f xml:space="preserve"> SUM(B20*G20*J20/B20)/(B22*G22*J22/B22)</f>
        <v>1.3175802139037431</v>
      </c>
      <c r="N20" s="114">
        <f>SUM(B20*H20*I20/B20)/(B22*H22*I22/B22)</f>
        <v>0.647761738029206</v>
      </c>
      <c r="O20" s="113">
        <f t="shared" si="1"/>
        <v>0.94248186741400231</v>
      </c>
      <c r="P20" s="5"/>
    </row>
    <row r="21" spans="1:16" x14ac:dyDescent="0.25">
      <c r="A21" s="41" t="s">
        <v>19</v>
      </c>
      <c r="B21" s="41">
        <v>1394</v>
      </c>
      <c r="C21" s="41">
        <v>15</v>
      </c>
      <c r="D21" s="4"/>
      <c r="E21" s="59">
        <v>2211.2199999999998</v>
      </c>
      <c r="F21" s="59">
        <v>39.14</v>
      </c>
      <c r="G21" s="114">
        <f>0.6+0.4*(B22/12)/B21</f>
        <v>1.3700860832137733</v>
      </c>
      <c r="H21" s="114">
        <f t="shared" si="0"/>
        <v>1.0107604017216643</v>
      </c>
      <c r="I21" s="114">
        <v>1</v>
      </c>
      <c r="J21" s="41">
        <f>0.9+0.1*(0.8*E21/E22+0.2*F21/F22)</f>
        <v>1</v>
      </c>
      <c r="K21" s="114">
        <f>SUM(B21*G21/B21)/(B22*G22/B22)</f>
        <v>1.3700860832137733</v>
      </c>
      <c r="L21" s="114">
        <f>SUM(B21*G21*J21/B21)/(B22*G22*J22/B22)</f>
        <v>1.3700860832137733</v>
      </c>
      <c r="M21" s="114">
        <f xml:space="preserve"> SUM(B21*G21*J21/B21)/(B22*G22*J22/B22)</f>
        <v>1.3700860832137733</v>
      </c>
      <c r="N21" s="114">
        <f>SUM(B21*H21*I21/B21)/(B22*H22*I22/B22)</f>
        <v>0.65385777314237936</v>
      </c>
      <c r="O21" s="113">
        <f t="shared" si="1"/>
        <v>0.96899822957379267</v>
      </c>
      <c r="P21" s="5"/>
    </row>
    <row r="22" spans="1:16" s="6" customFormat="1" ht="16.5" customHeight="1" x14ac:dyDescent="0.25">
      <c r="A22" s="41" t="s">
        <v>7</v>
      </c>
      <c r="B22" s="47">
        <f t="shared" ref="B22:D22" si="2">SUM(B10:B21)</f>
        <v>32205</v>
      </c>
      <c r="C22" s="47">
        <f t="shared" si="2"/>
        <v>2520</v>
      </c>
      <c r="D22" s="112">
        <f t="shared" si="2"/>
        <v>13966</v>
      </c>
      <c r="E22" s="59">
        <v>2211.2199999999998</v>
      </c>
      <c r="F22" s="59">
        <v>39.14</v>
      </c>
      <c r="G22" s="114">
        <v>1</v>
      </c>
      <c r="H22" s="114">
        <f t="shared" si="0"/>
        <v>1.0782487191429901</v>
      </c>
      <c r="I22" s="115">
        <f>SUM(D22/B22+1)</f>
        <v>1.4336593696630957</v>
      </c>
      <c r="J22" s="41">
        <f>0.9+0.1*(0.8*E22/E22+0.2*F22/F22)</f>
        <v>1</v>
      </c>
      <c r="K22" s="114">
        <f>SUM(B22*G22/B22)/(B22*G22/B22)</f>
        <v>1</v>
      </c>
      <c r="L22" s="114">
        <f>SUM(B22*G22*J22/B22)/(B22*G22*J22/B22)</f>
        <v>1</v>
      </c>
      <c r="M22" s="114">
        <f xml:space="preserve"> SUM(B22*G22*J22/B22)/(B22*G22*J22/B22)</f>
        <v>1</v>
      </c>
      <c r="N22" s="114">
        <f>SUM(B22*H22*I22/B22)/(B22*H22*I22/B22)</f>
        <v>1</v>
      </c>
      <c r="O22" s="113">
        <f t="shared" si="1"/>
        <v>1</v>
      </c>
      <c r="P22" s="16"/>
    </row>
    <row r="23" spans="1:16" x14ac:dyDescent="0.25">
      <c r="A23" s="41"/>
      <c r="B23" s="41"/>
      <c r="C23" s="4"/>
      <c r="D23" s="4"/>
      <c r="E23" s="4"/>
      <c r="F23" s="4"/>
      <c r="G23" s="116"/>
      <c r="H23" s="4"/>
      <c r="I23" s="117"/>
      <c r="J23" s="4"/>
      <c r="K23" s="4"/>
      <c r="L23" s="4"/>
      <c r="M23" s="4"/>
      <c r="N23" s="4"/>
      <c r="O23" s="59"/>
      <c r="P23" s="5"/>
    </row>
    <row r="24" spans="1:16" x14ac:dyDescent="0.25">
      <c r="A24" s="41"/>
      <c r="B24" s="41"/>
      <c r="C24" s="59"/>
      <c r="D24" s="4"/>
      <c r="E24" s="4"/>
      <c r="F24" s="4"/>
      <c r="G24" s="4"/>
      <c r="H24" s="4"/>
      <c r="I24" s="117"/>
      <c r="J24" s="4"/>
      <c r="K24" s="4"/>
      <c r="L24" s="4"/>
      <c r="M24" s="4"/>
      <c r="N24" s="4"/>
      <c r="O24" s="4"/>
      <c r="P24" s="5"/>
    </row>
    <row r="25" spans="1:16" x14ac:dyDescent="0.25">
      <c r="A25" s="5"/>
      <c r="B25" s="76"/>
      <c r="C25" s="5"/>
      <c r="D25" s="5"/>
      <c r="E25" s="5"/>
      <c r="F25" s="5"/>
      <c r="G25" s="5"/>
      <c r="H25" s="5"/>
      <c r="I25" s="118"/>
      <c r="J25" s="5"/>
      <c r="K25" s="5"/>
      <c r="L25" s="5"/>
      <c r="M25" s="5"/>
      <c r="N25" s="5"/>
      <c r="O25" s="5"/>
      <c r="P25" s="5"/>
    </row>
    <row r="26" spans="1:16" s="76" customFormat="1" x14ac:dyDescent="0.25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s="76" customFormat="1" x14ac:dyDescent="0.25">
      <c r="A27" s="83"/>
      <c r="B27" s="83"/>
      <c r="C27" s="83"/>
      <c r="D27" s="83"/>
      <c r="E27" s="70"/>
      <c r="F27" s="70"/>
      <c r="G27" s="83"/>
      <c r="H27" s="83"/>
      <c r="I27" s="70"/>
      <c r="J27" s="70"/>
      <c r="K27" s="70"/>
      <c r="L27" s="5"/>
      <c r="M27" s="5"/>
      <c r="N27" s="5"/>
      <c r="O27" s="5"/>
      <c r="P27" s="5"/>
    </row>
    <row r="28" spans="1:16" s="76" customFormat="1" x14ac:dyDescent="0.25">
      <c r="A28" s="83" t="s">
        <v>62</v>
      </c>
      <c r="B28" s="83"/>
      <c r="C28" s="83"/>
      <c r="D28" s="83"/>
      <c r="E28" s="70"/>
      <c r="F28" s="83"/>
      <c r="G28" s="83"/>
      <c r="H28" s="83"/>
      <c r="I28" s="70"/>
      <c r="J28" s="70"/>
      <c r="K28" s="70"/>
      <c r="L28" s="5"/>
      <c r="M28" s="5"/>
      <c r="N28" s="5"/>
      <c r="O28" s="5"/>
      <c r="P28" s="5"/>
    </row>
    <row r="29" spans="1:16" s="76" customFormat="1" x14ac:dyDescent="0.25">
      <c r="A29" s="83"/>
      <c r="B29" s="83"/>
      <c r="C29" s="70"/>
      <c r="D29" s="83"/>
      <c r="E29" s="70"/>
      <c r="F29" s="83"/>
      <c r="G29" s="83"/>
      <c r="H29" s="83"/>
      <c r="I29" s="83"/>
      <c r="J29" s="83"/>
      <c r="K29" s="83"/>
    </row>
    <row r="30" spans="1:16" x14ac:dyDescent="0.25">
      <c r="A30" s="145" t="s">
        <v>63</v>
      </c>
      <c r="B30" s="145"/>
      <c r="C30" s="59">
        <v>0.216</v>
      </c>
      <c r="D30" s="83"/>
      <c r="E30" s="70"/>
      <c r="F30" s="83"/>
      <c r="G30" s="83"/>
      <c r="H30" s="83"/>
      <c r="I30" s="83"/>
      <c r="J30" s="83"/>
      <c r="K30" s="83"/>
      <c r="L30" s="76"/>
      <c r="M30" s="76"/>
      <c r="N30" s="76"/>
      <c r="O30" s="76"/>
    </row>
    <row r="31" spans="1:16" x14ac:dyDescent="0.25">
      <c r="A31" s="145" t="s">
        <v>64</v>
      </c>
      <c r="B31" s="145"/>
      <c r="C31" s="59">
        <v>0.154</v>
      </c>
      <c r="D31" s="83"/>
      <c r="E31" s="70"/>
      <c r="F31" s="83"/>
      <c r="G31" s="83"/>
      <c r="H31" s="83"/>
      <c r="I31" s="83"/>
      <c r="J31" s="83"/>
      <c r="K31" s="83"/>
      <c r="L31" s="76"/>
      <c r="M31" s="76"/>
      <c r="N31" s="76"/>
      <c r="O31" s="76"/>
    </row>
    <row r="32" spans="1:16" x14ac:dyDescent="0.25">
      <c r="A32" s="145" t="s">
        <v>65</v>
      </c>
      <c r="B32" s="145"/>
      <c r="C32" s="113">
        <v>7.0000000000000007E-2</v>
      </c>
      <c r="D32" s="83"/>
      <c r="E32" s="70"/>
      <c r="F32" s="83"/>
      <c r="G32" s="83"/>
      <c r="H32" s="83"/>
      <c r="I32" s="83"/>
      <c r="J32" s="83"/>
      <c r="K32" s="83"/>
      <c r="L32" s="76"/>
      <c r="M32" s="76"/>
      <c r="N32" s="76"/>
      <c r="O32" s="76"/>
    </row>
    <row r="33" spans="1:15" x14ac:dyDescent="0.25">
      <c r="A33" s="145" t="s">
        <v>66</v>
      </c>
      <c r="B33" s="145"/>
      <c r="C33" s="113">
        <v>0.56000000000000005</v>
      </c>
      <c r="D33" s="83"/>
      <c r="E33" s="70"/>
      <c r="F33" s="83"/>
      <c r="G33" s="83"/>
      <c r="H33" s="83"/>
      <c r="I33" s="83"/>
      <c r="J33" s="83"/>
      <c r="K33" s="83"/>
      <c r="L33" s="76"/>
      <c r="M33" s="76"/>
      <c r="N33" s="76"/>
      <c r="O33" s="76"/>
    </row>
    <row r="34" spans="1:15" x14ac:dyDescent="0.25">
      <c r="A34" s="76"/>
      <c r="B34" s="76"/>
      <c r="C34" s="5"/>
      <c r="D34" s="76"/>
      <c r="E34" s="5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1:15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1:15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1:15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spans="1:15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1:15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spans="1:15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1:15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1:15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1:15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1:15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1:15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</row>
    <row r="46" spans="1:15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</row>
    <row r="47" spans="1:15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1:15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1:15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1:15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1:15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1:15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1:15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1:15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15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1:15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</row>
    <row r="61" spans="1:15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</row>
    <row r="62" spans="1:15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1:15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1:15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1:15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</row>
    <row r="66" spans="1:15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1:15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</row>
    <row r="68" spans="1:15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1:15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1:15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1:15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1:15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1:15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1:15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1:15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</row>
    <row r="76" spans="1:15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</row>
    <row r="77" spans="1:15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</row>
  </sheetData>
  <mergeCells count="11">
    <mergeCell ref="A30:B30"/>
    <mergeCell ref="A31:B31"/>
    <mergeCell ref="A32:B32"/>
    <mergeCell ref="A33:B33"/>
    <mergeCell ref="K5:N5"/>
    <mergeCell ref="O5:O6"/>
    <mergeCell ref="A5:A6"/>
    <mergeCell ref="B5:B6"/>
    <mergeCell ref="E5:F5"/>
    <mergeCell ref="G5:J5"/>
    <mergeCell ref="C5:D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2021-10-13T12:53:18Z</dcterms:modified>
</cp:coreProperties>
</file>