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2FBF2EB-1D42-4028-BF35-348E913BDF4D}" xr6:coauthVersionLast="45" xr6:coauthVersionMax="45" xr10:uidLastSave="{00000000-0000-0000-0000-000000000000}"/>
  <bookViews>
    <workbookView xWindow="-120" yWindow="-120" windowWidth="19440" windowHeight="15000" activeTab="2" xr2:uid="{00000000-000D-0000-FFFF-FFFF00000000}"/>
  </bookViews>
  <sheets>
    <sheet name="БО" sheetId="6" r:id="rId1"/>
    <sheet name="ИДП" sheetId="3" r:id="rId2"/>
    <sheet name="ИБР" sheetId="1" r:id="rId3"/>
  </sheets>
  <definedNames>
    <definedName name="_xlnm.Print_Area" localSheetId="0">БО!$A$1:$H$27</definedName>
    <definedName name="_xlnm.Print_Area" localSheetId="2">ИБР!$A$1:$O$40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3" l="1"/>
  <c r="J21" i="3"/>
  <c r="J20" i="3"/>
  <c r="J19" i="3"/>
  <c r="J18" i="3"/>
  <c r="J17" i="3"/>
  <c r="J16" i="3"/>
  <c r="J15" i="3"/>
  <c r="J14" i="3"/>
  <c r="J13" i="3"/>
  <c r="J12" i="3"/>
  <c r="J11" i="3"/>
  <c r="H22" i="6" l="1"/>
  <c r="J10" i="1" l="1"/>
  <c r="I10" i="1"/>
  <c r="H10" i="1"/>
  <c r="F22" i="6" l="1"/>
  <c r="B22" i="6"/>
  <c r="F21" i="6"/>
  <c r="F20" i="6"/>
  <c r="G20" i="6" s="1"/>
  <c r="F19" i="6"/>
  <c r="F18" i="6"/>
  <c r="G18" i="6" s="1"/>
  <c r="F17" i="6"/>
  <c r="F16" i="6"/>
  <c r="G16" i="6" s="1"/>
  <c r="F15" i="6"/>
  <c r="F14" i="6"/>
  <c r="F13" i="6"/>
  <c r="F12" i="6"/>
  <c r="G12" i="6" s="1"/>
  <c r="F11" i="6"/>
  <c r="G11" i="6" s="1"/>
  <c r="F10" i="6"/>
  <c r="G22" i="6" l="1"/>
  <c r="C23" i="3"/>
  <c r="X23" i="3"/>
  <c r="W23" i="3"/>
  <c r="D23" i="3" l="1"/>
  <c r="F11" i="3" s="1"/>
  <c r="F21" i="3" l="1"/>
  <c r="F17" i="3"/>
  <c r="F13" i="3"/>
  <c r="F12" i="3"/>
  <c r="F14" i="3"/>
  <c r="F16" i="3"/>
  <c r="F18" i="3"/>
  <c r="F20" i="3"/>
  <c r="F22" i="3"/>
  <c r="F15" i="3"/>
  <c r="F19" i="3"/>
  <c r="S23" i="3"/>
  <c r="R23" i="3"/>
  <c r="M23" i="3"/>
  <c r="L23" i="3"/>
  <c r="K23" i="3"/>
  <c r="H23" i="3"/>
  <c r="T22" i="3"/>
  <c r="N22" i="3"/>
  <c r="T21" i="3"/>
  <c r="N21" i="3"/>
  <c r="T20" i="3"/>
  <c r="N20" i="3"/>
  <c r="T19" i="3"/>
  <c r="N19" i="3"/>
  <c r="T18" i="3"/>
  <c r="V18" i="3" s="1"/>
  <c r="N18" i="3"/>
  <c r="T17" i="3"/>
  <c r="N17" i="3"/>
  <c r="T16" i="3"/>
  <c r="N16" i="3"/>
  <c r="T15" i="3"/>
  <c r="N15" i="3"/>
  <c r="T14" i="3"/>
  <c r="N14" i="3"/>
  <c r="T13" i="3"/>
  <c r="N13" i="3"/>
  <c r="T12" i="3"/>
  <c r="N12" i="3"/>
  <c r="T11" i="3"/>
  <c r="N11" i="3"/>
  <c r="T23" i="3" l="1"/>
  <c r="N23" i="3"/>
  <c r="P12" i="3" s="1"/>
  <c r="J23" i="3" l="1"/>
  <c r="U12" i="3"/>
  <c r="P21" i="3"/>
  <c r="U21" i="3" s="1"/>
  <c r="P19" i="3"/>
  <c r="U19" i="3" s="1"/>
  <c r="P17" i="3"/>
  <c r="U17" i="3" s="1"/>
  <c r="P15" i="3"/>
  <c r="U15" i="3" s="1"/>
  <c r="P13" i="3"/>
  <c r="U13" i="3" s="1"/>
  <c r="P11" i="3"/>
  <c r="U11" i="3" s="1"/>
  <c r="P22" i="3"/>
  <c r="U22" i="3" s="1"/>
  <c r="P20" i="3"/>
  <c r="U20" i="3" s="1"/>
  <c r="P18" i="3"/>
  <c r="U18" i="3" s="1"/>
  <c r="P16" i="3"/>
  <c r="U16" i="3" s="1"/>
  <c r="P14" i="3"/>
  <c r="U14" i="3" s="1"/>
  <c r="V22" i="3"/>
  <c r="V20" i="3"/>
  <c r="V16" i="3"/>
  <c r="V14" i="3"/>
  <c r="V12" i="3"/>
  <c r="V21" i="3"/>
  <c r="V19" i="3"/>
  <c r="V17" i="3"/>
  <c r="V15" i="3"/>
  <c r="V13" i="3"/>
  <c r="G23" i="3"/>
  <c r="V11" i="3"/>
  <c r="F23" i="3"/>
  <c r="P23" i="3" l="1"/>
  <c r="U23" i="3"/>
  <c r="V23" i="3"/>
  <c r="J22" i="1" l="1"/>
  <c r="J21" i="1"/>
  <c r="J20" i="1"/>
  <c r="J19" i="1"/>
  <c r="J17" i="1"/>
  <c r="J18" i="1"/>
  <c r="J16" i="1"/>
  <c r="J15" i="1"/>
  <c r="J14" i="1"/>
  <c r="J13" i="1"/>
  <c r="J12" i="1"/>
  <c r="J11" i="1"/>
  <c r="B22" i="1"/>
  <c r="C22" i="1"/>
  <c r="D22" i="1"/>
  <c r="H21" i="1"/>
  <c r="H20" i="1"/>
  <c r="H19" i="1"/>
  <c r="H18" i="1"/>
  <c r="H17" i="1"/>
  <c r="H16" i="1"/>
  <c r="H15" i="1"/>
  <c r="H14" i="1"/>
  <c r="H13" i="1"/>
  <c r="H12" i="1"/>
  <c r="H11" i="1"/>
  <c r="G14" i="1" l="1"/>
  <c r="G10" i="1"/>
  <c r="I22" i="1"/>
  <c r="G21" i="1"/>
  <c r="M21" i="1" s="1"/>
  <c r="G13" i="1"/>
  <c r="K13" i="1" s="1"/>
  <c r="G17" i="1"/>
  <c r="K22" i="1"/>
  <c r="M22" i="1"/>
  <c r="L22" i="1"/>
  <c r="G20" i="1"/>
  <c r="K20" i="1" s="1"/>
  <c r="G11" i="1"/>
  <c r="G15" i="1"/>
  <c r="G19" i="1"/>
  <c r="H22" i="1"/>
  <c r="G12" i="1"/>
  <c r="G16" i="1"/>
  <c r="G18" i="1"/>
  <c r="N10" i="1" l="1"/>
  <c r="M10" i="1"/>
  <c r="L10" i="1"/>
  <c r="K10" i="1"/>
  <c r="N22" i="1"/>
  <c r="O22" i="1" s="1"/>
  <c r="L21" i="1"/>
  <c r="N18" i="1"/>
  <c r="K17" i="1"/>
  <c r="M17" i="1"/>
  <c r="L17" i="1"/>
  <c r="L14" i="1"/>
  <c r="M14" i="1"/>
  <c r="L13" i="1"/>
  <c r="N17" i="1"/>
  <c r="K21" i="1"/>
  <c r="M13" i="1"/>
  <c r="K18" i="1"/>
  <c r="M18" i="1"/>
  <c r="L18" i="1"/>
  <c r="K14" i="1"/>
  <c r="M15" i="1"/>
  <c r="L15" i="1"/>
  <c r="K15" i="1"/>
  <c r="K16" i="1"/>
  <c r="M16" i="1"/>
  <c r="L16" i="1"/>
  <c r="K12" i="1"/>
  <c r="M12" i="1"/>
  <c r="L12" i="1"/>
  <c r="M19" i="1"/>
  <c r="L19" i="1"/>
  <c r="K19" i="1"/>
  <c r="M11" i="1"/>
  <c r="L11" i="1"/>
  <c r="K11" i="1"/>
  <c r="M20" i="1"/>
  <c r="L20" i="1"/>
  <c r="N19" i="1"/>
  <c r="N15" i="1"/>
  <c r="N12" i="1"/>
  <c r="N21" i="1"/>
  <c r="N14" i="1"/>
  <c r="N13" i="1"/>
  <c r="N20" i="1"/>
  <c r="N16" i="1"/>
  <c r="N11" i="1"/>
  <c r="Y19" i="3"/>
  <c r="Y17" i="3"/>
  <c r="Y22" i="3"/>
  <c r="Y16" i="3"/>
  <c r="Y18" i="3"/>
  <c r="Y21" i="3"/>
  <c r="Y14" i="3"/>
  <c r="Y15" i="3"/>
  <c r="Y20" i="3"/>
  <c r="Y13" i="3"/>
  <c r="Y11" i="3"/>
  <c r="Y12" i="3"/>
  <c r="O20" i="1" l="1"/>
  <c r="O13" i="1"/>
  <c r="O18" i="1"/>
  <c r="O19" i="1"/>
  <c r="O16" i="1"/>
  <c r="O14" i="1"/>
  <c r="O17" i="1"/>
  <c r="O10" i="1"/>
  <c r="O11" i="1"/>
  <c r="O12" i="1"/>
  <c r="O15" i="1"/>
  <c r="O21" i="1"/>
  <c r="Y23" i="3"/>
  <c r="Z23" i="3" s="1"/>
  <c r="Z11" i="3" l="1"/>
  <c r="Z18" i="3"/>
  <c r="Z14" i="3"/>
  <c r="Z21" i="3"/>
  <c r="Z16" i="3"/>
  <c r="Z12" i="3"/>
  <c r="Z17" i="3"/>
  <c r="Z15" i="3"/>
  <c r="Z19" i="3"/>
  <c r="Z22" i="3"/>
  <c r="Z13" i="3"/>
  <c r="Z20" i="3"/>
</calcChain>
</file>

<file path=xl/sharedStrings.xml><?xml version="1.0" encoding="utf-8"?>
<sst xmlns="http://schemas.openxmlformats.org/spreadsheetml/2006/main" count="119" uniqueCount="86">
  <si>
    <t>Численность постоянного налеления</t>
  </si>
  <si>
    <t>в том числе</t>
  </si>
  <si>
    <t>коэффициенты</t>
  </si>
  <si>
    <t>численность в населенных пунктах менее 500 человек</t>
  </si>
  <si>
    <t xml:space="preserve"> городское население</t>
  </si>
  <si>
    <t>масштаба</t>
  </si>
  <si>
    <t>дисперсности расселения</t>
  </si>
  <si>
    <t>итого</t>
  </si>
  <si>
    <t>МО г. Красный Кут</t>
  </si>
  <si>
    <t>Дьяковское МО</t>
  </si>
  <si>
    <t>Ждановское МО</t>
  </si>
  <si>
    <t>Журавлевское МО</t>
  </si>
  <si>
    <t>Интернациональное МО</t>
  </si>
  <si>
    <t>Комсомольское МО</t>
  </si>
  <si>
    <t>Лавровское МО</t>
  </si>
  <si>
    <t>Лебедевское МО</t>
  </si>
  <si>
    <t>Логиновское МО</t>
  </si>
  <si>
    <t>Первомайское МО</t>
  </si>
  <si>
    <t>Усатовское МО</t>
  </si>
  <si>
    <t>Чкаловское МО</t>
  </si>
  <si>
    <t>прогноз тарифов на ЖКУ</t>
  </si>
  <si>
    <t xml:space="preserve"> стоимость  1 куб. м. воды в месяц, руб</t>
  </si>
  <si>
    <t>стоимость тепла за 1 Гкал а месяц, руб</t>
  </si>
  <si>
    <t>стоимости коммунальных услуг</t>
  </si>
  <si>
    <t>7=1+ гр.2/гр1</t>
  </si>
  <si>
    <t>8=1+ гр.3/гр. 1</t>
  </si>
  <si>
    <t>9=0,9+0,1*(0,8*гр4/Σгр.4+0,2*гр.5/Σгр.5)</t>
  </si>
  <si>
    <t>уровеня урбанизации</t>
  </si>
  <si>
    <t>Поселения района</t>
  </si>
  <si>
    <t>НДФЛ</t>
  </si>
  <si>
    <t>№</t>
  </si>
  <si>
    <t>прогноз НДФЛ, отчисления 10%</t>
  </si>
  <si>
    <t>прогноз  всего</t>
  </si>
  <si>
    <t>физические лица</t>
  </si>
  <si>
    <t xml:space="preserve">юридические лица </t>
  </si>
  <si>
    <t>организации</t>
  </si>
  <si>
    <t>Дотация  поселению из бюджета муниципального района за счет субвенций из областного бюджета</t>
  </si>
  <si>
    <t xml:space="preserve">Доходный потенциал </t>
  </si>
  <si>
    <t>Индекс доходного потенциала</t>
  </si>
  <si>
    <t>Бюджетная обеспеченность</t>
  </si>
  <si>
    <t xml:space="preserve">Индекс  бюджетных расходов </t>
  </si>
  <si>
    <t>Прогноз доходов  бюджетов поселений</t>
  </si>
  <si>
    <t>Дотация на выравнивания бюджетной обеспеченности поселений</t>
  </si>
  <si>
    <t>Потенциал НДФЛ, 10%</t>
  </si>
  <si>
    <t>Налог на имущество</t>
  </si>
  <si>
    <t>Прогноз налога</t>
  </si>
  <si>
    <t xml:space="preserve">Налоговый потенциал </t>
  </si>
  <si>
    <t>20=гр16+гр10+гр6</t>
  </si>
  <si>
    <t>Численность постоянного населения</t>
  </si>
  <si>
    <t>24=гр.23+20</t>
  </si>
  <si>
    <t xml:space="preserve">30=(гр.24/гр.22)/(Σгр.24/Σгр.22) </t>
  </si>
  <si>
    <t>26=гр.6+гр.10+гр.16</t>
  </si>
  <si>
    <t xml:space="preserve"> Местное самоуправление</t>
  </si>
  <si>
    <t xml:space="preserve">  культура</t>
  </si>
  <si>
    <t xml:space="preserve">  физическая культура и спорт</t>
  </si>
  <si>
    <t xml:space="preserve"> прочие расходы</t>
  </si>
  <si>
    <t xml:space="preserve"> отраслевые индексы бюджетных расходов</t>
  </si>
  <si>
    <t>10= (гр1*гр.6/гр.1)/(Σ(1*гр.6)/Σгр.1)</t>
  </si>
  <si>
    <t>11=(гр1*гр.6*гр.9/гр.1)/(Σ(1*гр.6*гр.9)/Σгр.1)</t>
  </si>
  <si>
    <t>12=(гр1*гр.6*гр.9/гр.1)/(Σ(1*гр.6*гр.9)/Σгр.1)</t>
  </si>
  <si>
    <t>13=(гр.1*гр.7*гр.8/гр.1)/(Σ(гр.1*гр.7*гр.8)/(Σгр.1)</t>
  </si>
  <si>
    <t>Сводный индекс бюджетных расходов</t>
  </si>
  <si>
    <t>Доля  расходов в составе  репрезентативной системы расходов в  планируемом году по всем поселениям входящим в состав муниципального района</t>
  </si>
  <si>
    <t xml:space="preserve"> местное самоуправление</t>
  </si>
  <si>
    <t xml:space="preserve"> культура</t>
  </si>
  <si>
    <t>спорт</t>
  </si>
  <si>
    <t>прочие расходы</t>
  </si>
  <si>
    <t xml:space="preserve">налоговый потенциал всего </t>
  </si>
  <si>
    <t>руб.</t>
  </si>
  <si>
    <t xml:space="preserve"> ( руб.)</t>
  </si>
  <si>
    <t>( руб)</t>
  </si>
  <si>
    <t>Потребность в средствах для выравнивания  бюджетной обеспеченности  поселений   (руб)</t>
  </si>
  <si>
    <r>
      <t>6=0,6+0,4*(</t>
    </r>
    <r>
      <rPr>
        <b/>
        <sz val="11"/>
        <color theme="1"/>
        <rFont val="Calibri"/>
        <family val="2"/>
        <charset val="204"/>
      </rPr>
      <t>Σгр.</t>
    </r>
    <r>
      <rPr>
        <b/>
        <sz val="11"/>
        <color theme="1"/>
        <rFont val="Calibri"/>
        <family val="2"/>
        <charset val="204"/>
        <scheme val="minor"/>
      </rPr>
      <t>1/12)/гр.1</t>
    </r>
  </si>
  <si>
    <t>14=гр.10*0,232+гр.11*0,158+гр.12*0,07+гр.13*0,54</t>
  </si>
  <si>
    <t xml:space="preserve">   Расчет распределения на 2024 год дотации на выравнивания бюджетной обеспеченности поселений Краснокутского района</t>
  </si>
  <si>
    <t>Расчет индекса доходного потенциала поселений Краснокутского района на 2024год ( продолжение)</t>
  </si>
  <si>
    <t>Расчет индекса доходного потенциала поселений Краснокутского района на 2024 год</t>
  </si>
  <si>
    <t xml:space="preserve"> Расчет индекса  бюджетных расходов поселений Краснокутского  района на 2024 год</t>
  </si>
  <si>
    <t>ФОТ, прогноз на 2024год, тыс. руб</t>
  </si>
  <si>
    <t>Сумма налога по 5-НДФЛ за 2020 год</t>
  </si>
  <si>
    <t xml:space="preserve">Прогноз налога на доходы физических лиц на 2024 год,    руб        </t>
  </si>
  <si>
    <t>Сумма налога к уплате в бюджет  по форме 5-МН за 2020 год.  Рублей</t>
  </si>
  <si>
    <t xml:space="preserve">Прогноз налога на имущество физических лиц       на 2024 год,   рублей     </t>
  </si>
  <si>
    <t>Земельный налог, по форме 5-МН за 2020год</t>
  </si>
  <si>
    <t>Прогноз  земельного  налога   на 2024 год</t>
  </si>
  <si>
    <t>5=83406987/32205*(0,430 гр.4)*гр.3*гр.1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</si>
</sst>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"/>
    <numFmt numFmtId="166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4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Fill="1" applyBorder="1"/>
    <xf numFmtId="0" fontId="1" fillId="0" borderId="0" xfId="0" applyFont="1" applyFill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3" borderId="4" xfId="0" applyFont="1" applyFill="1" applyBorder="1"/>
    <xf numFmtId="0" fontId="1" fillId="3" borderId="0" xfId="0" applyFont="1" applyFill="1"/>
    <xf numFmtId="1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4" xfId="0" applyFont="1" applyFill="1" applyBorder="1" applyAlignment="1">
      <alignment horizontal="center" wrapText="1"/>
    </xf>
    <xf numFmtId="0" fontId="0" fillId="0" borderId="4" xfId="0" applyFont="1" applyBorder="1"/>
    <xf numFmtId="0" fontId="4" fillId="0" borderId="4" xfId="0" applyFont="1" applyBorder="1" applyAlignment="1">
      <alignment horizontal="center" wrapText="1"/>
    </xf>
    <xf numFmtId="0" fontId="0" fillId="0" borderId="4" xfId="0" applyFont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/>
    <xf numFmtId="0" fontId="4" fillId="0" borderId="4" xfId="0" applyFont="1" applyBorder="1"/>
    <xf numFmtId="0" fontId="4" fillId="0" borderId="0" xfId="0" applyFont="1"/>
    <xf numFmtId="0" fontId="0" fillId="0" borderId="7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wrapText="1"/>
    </xf>
    <xf numFmtId="0" fontId="7" fillId="0" borderId="0" xfId="0" applyFont="1" applyAlignment="1"/>
    <xf numFmtId="0" fontId="0" fillId="0" borderId="0" xfId="0" applyFont="1" applyBorder="1"/>
    <xf numFmtId="0" fontId="4" fillId="0" borderId="4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0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8" fillId="0" borderId="4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165" fontId="0" fillId="3" borderId="4" xfId="0" applyNumberFormat="1" applyFont="1" applyFill="1" applyBorder="1"/>
    <xf numFmtId="0" fontId="0" fillId="3" borderId="4" xfId="0" applyFont="1" applyFill="1" applyBorder="1"/>
    <xf numFmtId="0" fontId="8" fillId="0" borderId="0" xfId="0" applyFont="1"/>
    <xf numFmtId="0" fontId="8" fillId="0" borderId="0" xfId="0" applyFont="1" applyFill="1"/>
    <xf numFmtId="0" fontId="8" fillId="0" borderId="7" xfId="0" applyFont="1" applyFill="1" applyBorder="1"/>
    <xf numFmtId="0" fontId="5" fillId="0" borderId="0" xfId="0" applyFont="1" applyFill="1" applyAlignment="1">
      <alignment horizontal="center"/>
    </xf>
    <xf numFmtId="0" fontId="4" fillId="3" borderId="4" xfId="0" applyFont="1" applyFill="1" applyBorder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/>
    <xf numFmtId="0" fontId="4" fillId="2" borderId="4" xfId="0" applyFont="1" applyFill="1" applyBorder="1" applyAlignment="1">
      <alignment horizontal="center" wrapText="1"/>
    </xf>
    <xf numFmtId="0" fontId="8" fillId="2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8" fillId="0" borderId="4" xfId="0" applyFont="1" applyFill="1" applyBorder="1" applyAlignment="1">
      <alignment wrapText="1"/>
    </xf>
    <xf numFmtId="1" fontId="8" fillId="0" borderId="0" xfId="0" applyNumberFormat="1" applyFont="1" applyFill="1"/>
    <xf numFmtId="165" fontId="1" fillId="0" borderId="0" xfId="0" applyNumberFormat="1" applyFont="1" applyFill="1"/>
    <xf numFmtId="1" fontId="8" fillId="0" borderId="4" xfId="0" applyNumberFormat="1" applyFont="1" applyFill="1" applyBorder="1"/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top" wrapText="1"/>
    </xf>
    <xf numFmtId="2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3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1" fillId="0" borderId="0" xfId="0" applyFont="1" applyFill="1" applyBorder="1"/>
    <xf numFmtId="0" fontId="13" fillId="0" borderId="4" xfId="0" applyFont="1" applyFill="1" applyBorder="1" applyAlignment="1">
      <alignment horizontal="center" vertical="top" wrapText="1"/>
    </xf>
    <xf numFmtId="1" fontId="0" fillId="0" borderId="4" xfId="0" applyNumberFormat="1" applyFont="1" applyFill="1" applyBorder="1" applyAlignment="1">
      <alignment horizontal="center"/>
    </xf>
    <xf numFmtId="0" fontId="9" fillId="0" borderId="4" xfId="0" applyFont="1" applyFill="1" applyBorder="1"/>
    <xf numFmtId="164" fontId="0" fillId="0" borderId="4" xfId="0" applyNumberFormat="1" applyFont="1" applyFill="1" applyBorder="1"/>
    <xf numFmtId="164" fontId="4" fillId="0" borderId="4" xfId="0" applyNumberFormat="1" applyFont="1" applyFill="1" applyBorder="1"/>
    <xf numFmtId="164" fontId="1" fillId="0" borderId="4" xfId="0" applyNumberFormat="1" applyFont="1" applyFill="1" applyBorder="1"/>
    <xf numFmtId="165" fontId="1" fillId="0" borderId="4" xfId="0" applyNumberFormat="1" applyFont="1" applyFill="1" applyBorder="1"/>
    <xf numFmtId="0" fontId="4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Font="1" applyFill="1"/>
    <xf numFmtId="166" fontId="8" fillId="0" borderId="4" xfId="0" applyNumberFormat="1" applyFont="1" applyFill="1" applyBorder="1"/>
    <xf numFmtId="0" fontId="0" fillId="2" borderId="4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166" fontId="0" fillId="2" borderId="4" xfId="0" applyNumberFormat="1" applyFont="1" applyFill="1" applyBorder="1" applyAlignment="1">
      <alignment horizontal="center"/>
    </xf>
    <xf numFmtId="1" fontId="1" fillId="2" borderId="0" xfId="0" applyNumberFormat="1" applyFont="1" applyFill="1"/>
    <xf numFmtId="1" fontId="4" fillId="2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/>
    </xf>
    <xf numFmtId="166" fontId="4" fillId="2" borderId="4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0" fillId="2" borderId="4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6" fontId="8" fillId="2" borderId="4" xfId="0" applyNumberFormat="1" applyFont="1" applyFill="1" applyBorder="1"/>
    <xf numFmtId="0" fontId="8" fillId="2" borderId="4" xfId="0" applyFont="1" applyFill="1" applyBorder="1"/>
    <xf numFmtId="1" fontId="8" fillId="2" borderId="4" xfId="0" applyNumberFormat="1" applyFont="1" applyFill="1" applyBorder="1"/>
    <xf numFmtId="0" fontId="8" fillId="2" borderId="7" xfId="0" applyFont="1" applyFill="1" applyBorder="1"/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wrapText="1"/>
    </xf>
    <xf numFmtId="0" fontId="0" fillId="0" borderId="3" xfId="0" applyNumberFormat="1" applyFont="1" applyBorder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2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54D7-F9FB-4357-9928-4082EB2E016A}">
  <dimension ref="A1:I29"/>
  <sheetViews>
    <sheetView zoomScaleNormal="100" workbookViewId="0">
      <selection activeCell="J5" sqref="J5"/>
    </sheetView>
  </sheetViews>
  <sheetFormatPr defaultRowHeight="15" x14ac:dyDescent="0.25"/>
  <cols>
    <col min="1" max="1" width="23.5703125" style="1" customWidth="1"/>
    <col min="2" max="2" width="13.85546875" style="1" customWidth="1"/>
    <col min="3" max="3" width="14.140625" style="1" hidden="1" customWidth="1"/>
    <col min="4" max="4" width="18.28515625" style="1" customWidth="1"/>
    <col min="5" max="5" width="13.140625" style="1" customWidth="1"/>
    <col min="6" max="6" width="13.28515625" style="1" customWidth="1"/>
    <col min="7" max="7" width="24" style="1" customWidth="1"/>
    <col min="8" max="8" width="16.5703125" style="1" customWidth="1"/>
    <col min="9" max="9" width="15.7109375" style="1" customWidth="1"/>
    <col min="10" max="16384" width="9.140625" style="1"/>
  </cols>
  <sheetData>
    <row r="1" spans="1:9" s="23" customFormat="1" x14ac:dyDescent="0.25"/>
    <row r="2" spans="1:9" s="23" customFormat="1" x14ac:dyDescent="0.25">
      <c r="A2" s="38" t="s">
        <v>74</v>
      </c>
    </row>
    <row r="3" spans="1:9" s="23" customFormat="1" x14ac:dyDescent="0.25">
      <c r="I3" s="39"/>
    </row>
    <row r="4" spans="1:9" s="23" customFormat="1" x14ac:dyDescent="0.25">
      <c r="H4" s="23" t="s">
        <v>69</v>
      </c>
      <c r="I4" s="39"/>
    </row>
    <row r="5" spans="1:9" s="23" customFormat="1" ht="45" customHeight="1" x14ac:dyDescent="0.25">
      <c r="A5" s="124"/>
      <c r="B5" s="126" t="s">
        <v>0</v>
      </c>
      <c r="C5" s="71"/>
      <c r="D5" s="126" t="s">
        <v>38</v>
      </c>
      <c r="E5" s="126" t="s">
        <v>40</v>
      </c>
      <c r="F5" s="128" t="s">
        <v>39</v>
      </c>
      <c r="G5" s="122" t="s">
        <v>71</v>
      </c>
      <c r="H5" s="122" t="s">
        <v>42</v>
      </c>
      <c r="I5" s="123"/>
    </row>
    <row r="6" spans="1:9" s="23" customFormat="1" ht="90" customHeight="1" x14ac:dyDescent="0.25">
      <c r="A6" s="125"/>
      <c r="B6" s="127"/>
      <c r="C6" s="72"/>
      <c r="D6" s="127"/>
      <c r="E6" s="127"/>
      <c r="F6" s="129"/>
      <c r="G6" s="122"/>
      <c r="H6" s="122"/>
      <c r="I6" s="123"/>
    </row>
    <row r="7" spans="1:9" x14ac:dyDescent="0.25">
      <c r="A7" s="15"/>
      <c r="B7" s="17"/>
      <c r="C7" s="17"/>
      <c r="D7" s="4"/>
      <c r="E7" s="4"/>
      <c r="F7" s="4"/>
      <c r="G7" s="4"/>
      <c r="H7" s="4"/>
      <c r="I7" s="73"/>
    </row>
    <row r="8" spans="1:9" ht="30" x14ac:dyDescent="0.25">
      <c r="A8" s="18"/>
      <c r="B8" s="41">
        <v>1</v>
      </c>
      <c r="C8" s="19"/>
      <c r="D8" s="53">
        <v>2</v>
      </c>
      <c r="E8" s="53">
        <v>3</v>
      </c>
      <c r="F8" s="53">
        <v>4</v>
      </c>
      <c r="G8" s="150" t="s">
        <v>85</v>
      </c>
      <c r="H8" s="74"/>
      <c r="I8" s="62"/>
    </row>
    <row r="9" spans="1:9" x14ac:dyDescent="0.25">
      <c r="A9" s="2"/>
      <c r="B9" s="34"/>
      <c r="C9" s="10"/>
      <c r="D9" s="53"/>
      <c r="E9" s="53"/>
      <c r="F9" s="53"/>
      <c r="G9" s="53"/>
      <c r="H9" s="53"/>
      <c r="I9" s="62"/>
    </row>
    <row r="10" spans="1:9" x14ac:dyDescent="0.25">
      <c r="A10" s="36" t="s">
        <v>8</v>
      </c>
      <c r="B10" s="36">
        <v>17185</v>
      </c>
      <c r="C10" s="11"/>
      <c r="D10" s="118">
        <v>0.89100000000000001</v>
      </c>
      <c r="E10" s="119">
        <v>0.95399999999999996</v>
      </c>
      <c r="F10" s="118">
        <f>SUM(D10/E10)</f>
        <v>0.93396226415094341</v>
      </c>
      <c r="G10" s="120"/>
      <c r="H10" s="119"/>
      <c r="I10" s="121"/>
    </row>
    <row r="11" spans="1:9" x14ac:dyDescent="0.25">
      <c r="A11" s="36" t="s">
        <v>9</v>
      </c>
      <c r="B11" s="36">
        <v>1115</v>
      </c>
      <c r="C11" s="11"/>
      <c r="D11" s="118">
        <v>0.39800000000000002</v>
      </c>
      <c r="E11" s="119">
        <v>1.0680000000000001</v>
      </c>
      <c r="F11" s="118">
        <f t="shared" ref="F11:F22" si="0">SUM(D11/E11)</f>
        <v>0.37265917602996257</v>
      </c>
      <c r="G11" s="120">
        <f>83406987/32205*(0.43-F11)*E11*B11</f>
        <v>176843.53145555651</v>
      </c>
      <c r="H11" s="120">
        <v>176844</v>
      </c>
      <c r="I11" s="121"/>
    </row>
    <row r="12" spans="1:9" x14ac:dyDescent="0.25">
      <c r="A12" s="36" t="s">
        <v>10</v>
      </c>
      <c r="B12" s="36">
        <v>1171</v>
      </c>
      <c r="C12" s="11"/>
      <c r="D12" s="119">
        <v>0.30499999999999999</v>
      </c>
      <c r="E12" s="119">
        <v>1.1519999999999999</v>
      </c>
      <c r="F12" s="118">
        <f t="shared" si="0"/>
        <v>0.26475694444444448</v>
      </c>
      <c r="G12" s="120">
        <f>83406987/32205*(0.43-F12)*E12*B12</f>
        <v>577313.50992298441</v>
      </c>
      <c r="H12" s="120">
        <v>577313</v>
      </c>
      <c r="I12" s="121"/>
    </row>
    <row r="13" spans="1:9" x14ac:dyDescent="0.25">
      <c r="A13" s="36" t="s">
        <v>11</v>
      </c>
      <c r="B13" s="36">
        <v>1168</v>
      </c>
      <c r="C13" s="11"/>
      <c r="D13" s="119">
        <v>2.67</v>
      </c>
      <c r="E13" s="119">
        <v>1.2829999999999999</v>
      </c>
      <c r="F13" s="118">
        <f t="shared" si="0"/>
        <v>2.0810600155884647</v>
      </c>
      <c r="G13" s="120"/>
      <c r="H13" s="120"/>
      <c r="I13" s="121"/>
    </row>
    <row r="14" spans="1:9" x14ac:dyDescent="0.25">
      <c r="A14" s="36" t="s">
        <v>12</v>
      </c>
      <c r="B14" s="36">
        <v>1450</v>
      </c>
      <c r="C14" s="11"/>
      <c r="D14" s="119">
        <v>2.323</v>
      </c>
      <c r="E14" s="119">
        <v>0.97599999999999998</v>
      </c>
      <c r="F14" s="118">
        <f t="shared" si="0"/>
        <v>2.380122950819672</v>
      </c>
      <c r="G14" s="120"/>
      <c r="H14" s="120"/>
      <c r="I14" s="121"/>
    </row>
    <row r="15" spans="1:9" x14ac:dyDescent="0.25">
      <c r="A15" s="36" t="s">
        <v>13</v>
      </c>
      <c r="B15" s="36">
        <v>909</v>
      </c>
      <c r="C15" s="11"/>
      <c r="D15" s="118">
        <v>5.1710000000000003</v>
      </c>
      <c r="E15" s="119">
        <v>1.1830000000000001</v>
      </c>
      <c r="F15" s="118">
        <f t="shared" si="0"/>
        <v>4.3710904480135246</v>
      </c>
      <c r="G15" s="120"/>
      <c r="H15" s="120"/>
      <c r="I15" s="121"/>
    </row>
    <row r="16" spans="1:9" x14ac:dyDescent="0.25">
      <c r="A16" s="36" t="s">
        <v>14</v>
      </c>
      <c r="B16" s="36">
        <v>1088</v>
      </c>
      <c r="C16" s="11"/>
      <c r="D16" s="119">
        <v>0.33500000000000002</v>
      </c>
      <c r="E16" s="119">
        <v>1.145</v>
      </c>
      <c r="F16" s="118">
        <f t="shared" si="0"/>
        <v>0.29257641921397382</v>
      </c>
      <c r="G16" s="120">
        <f>83406987/32205*(0.43-F16)*E16*B16</f>
        <v>443378.64530481596</v>
      </c>
      <c r="H16" s="120">
        <v>443379</v>
      </c>
      <c r="I16" s="121"/>
    </row>
    <row r="17" spans="1:9" x14ac:dyDescent="0.25">
      <c r="A17" s="36" t="s">
        <v>15</v>
      </c>
      <c r="B17" s="36">
        <v>1403</v>
      </c>
      <c r="C17" s="11"/>
      <c r="D17" s="119">
        <v>0.96799999999999997</v>
      </c>
      <c r="E17" s="119">
        <v>1.0109999999999999</v>
      </c>
      <c r="F17" s="118">
        <f t="shared" si="0"/>
        <v>0.95746785361028697</v>
      </c>
      <c r="G17" s="120"/>
      <c r="H17" s="120"/>
      <c r="I17" s="121"/>
    </row>
    <row r="18" spans="1:9" x14ac:dyDescent="0.25">
      <c r="A18" s="36" t="s">
        <v>16</v>
      </c>
      <c r="B18" s="36">
        <v>1905</v>
      </c>
      <c r="C18" s="11"/>
      <c r="D18" s="119">
        <v>0.35399999999999998</v>
      </c>
      <c r="E18" s="119">
        <v>0.97799999999999998</v>
      </c>
      <c r="F18" s="118">
        <f t="shared" si="0"/>
        <v>0.36196319018404904</v>
      </c>
      <c r="G18" s="120">
        <f>83406987/32205*(0.43-F18)*E18*B18</f>
        <v>328289.43465415016</v>
      </c>
      <c r="H18" s="120">
        <v>328289</v>
      </c>
      <c r="I18" s="121"/>
    </row>
    <row r="19" spans="1:9" x14ac:dyDescent="0.25">
      <c r="A19" s="36" t="s">
        <v>17</v>
      </c>
      <c r="B19" s="36">
        <v>1921</v>
      </c>
      <c r="C19" s="11"/>
      <c r="D19" s="118">
        <v>0.56299999999999994</v>
      </c>
      <c r="E19" s="119">
        <v>0.88200000000000001</v>
      </c>
      <c r="F19" s="118">
        <f t="shared" si="0"/>
        <v>0.63832199546485258</v>
      </c>
      <c r="G19" s="120"/>
      <c r="H19" s="120"/>
      <c r="I19" s="121"/>
    </row>
    <row r="20" spans="1:9" x14ac:dyDescent="0.25">
      <c r="A20" s="36" t="s">
        <v>18</v>
      </c>
      <c r="B20" s="36">
        <v>1496</v>
      </c>
      <c r="C20" s="11"/>
      <c r="D20" s="119">
        <v>0.38700000000000001</v>
      </c>
      <c r="E20" s="119">
        <v>0.95599999999999996</v>
      </c>
      <c r="F20" s="118">
        <f t="shared" si="0"/>
        <v>0.40481171548117156</v>
      </c>
      <c r="G20" s="120">
        <f>83406987/32205*(0.43-F20)*E20*B20</f>
        <v>93296.898290705096</v>
      </c>
      <c r="H20" s="120">
        <v>93297</v>
      </c>
      <c r="I20" s="121"/>
    </row>
    <row r="21" spans="1:9" x14ac:dyDescent="0.25">
      <c r="A21" s="36" t="s">
        <v>19</v>
      </c>
      <c r="B21" s="36">
        <v>1394</v>
      </c>
      <c r="C21" s="11"/>
      <c r="D21" s="118">
        <v>0.60599999999999998</v>
      </c>
      <c r="E21" s="118">
        <v>0.98299999999999998</v>
      </c>
      <c r="F21" s="118">
        <f t="shared" si="0"/>
        <v>0.61648016276703965</v>
      </c>
      <c r="G21" s="120"/>
      <c r="H21" s="120"/>
      <c r="I21" s="121"/>
    </row>
    <row r="22" spans="1:9" x14ac:dyDescent="0.25">
      <c r="A22" s="36" t="s">
        <v>7</v>
      </c>
      <c r="B22" s="91">
        <f t="shared" ref="B22" si="1">SUM(B10:B21)</f>
        <v>32205</v>
      </c>
      <c r="C22" s="20"/>
      <c r="D22" s="119">
        <v>1</v>
      </c>
      <c r="E22" s="119">
        <v>1</v>
      </c>
      <c r="F22" s="118">
        <f t="shared" si="0"/>
        <v>1</v>
      </c>
      <c r="G22" s="120">
        <f>SUM(G11:G20)</f>
        <v>1619122.0196282121</v>
      </c>
      <c r="H22" s="120">
        <f>SUM(H11:H20)</f>
        <v>1619122</v>
      </c>
      <c r="I22" s="121"/>
    </row>
    <row r="23" spans="1:9" x14ac:dyDescent="0.25">
      <c r="A23" s="36"/>
      <c r="B23" s="4"/>
      <c r="C23" s="11"/>
      <c r="D23" s="119"/>
      <c r="E23" s="119"/>
      <c r="F23" s="119"/>
      <c r="G23" s="120"/>
      <c r="H23" s="119"/>
      <c r="I23" s="121"/>
    </row>
    <row r="24" spans="1:9" x14ac:dyDescent="0.25">
      <c r="A24" s="36"/>
      <c r="B24" s="4"/>
      <c r="C24" s="11"/>
      <c r="D24" s="53"/>
      <c r="E24" s="53"/>
      <c r="F24" s="53"/>
      <c r="G24" s="77"/>
      <c r="H24" s="53"/>
      <c r="I24" s="62"/>
    </row>
    <row r="25" spans="1:9" x14ac:dyDescent="0.25">
      <c r="B25" s="5"/>
      <c r="D25" s="61"/>
      <c r="E25" s="61"/>
      <c r="F25" s="61"/>
      <c r="G25" s="61"/>
      <c r="H25" s="75"/>
      <c r="I25" s="61"/>
    </row>
    <row r="26" spans="1:9" x14ac:dyDescent="0.25">
      <c r="D26" s="5"/>
      <c r="E26" s="5"/>
      <c r="F26" s="5"/>
      <c r="G26" s="5"/>
      <c r="H26" s="5"/>
      <c r="I26" s="5"/>
    </row>
    <row r="27" spans="1:9" x14ac:dyDescent="0.25">
      <c r="A27" s="60" t="s">
        <v>41</v>
      </c>
      <c r="B27" s="60"/>
      <c r="C27" s="60">
        <v>63668130</v>
      </c>
      <c r="D27" s="61">
        <v>83406987</v>
      </c>
      <c r="E27" s="61"/>
      <c r="F27" s="5"/>
      <c r="G27" s="13"/>
      <c r="H27" s="5"/>
      <c r="I27" s="5"/>
    </row>
    <row r="28" spans="1:9" x14ac:dyDescent="0.25">
      <c r="D28" s="5"/>
      <c r="E28" s="5"/>
      <c r="F28" s="5"/>
      <c r="G28" s="5"/>
      <c r="H28" s="5"/>
      <c r="I28" s="5"/>
    </row>
    <row r="29" spans="1:9" x14ac:dyDescent="0.25">
      <c r="E29" s="5"/>
      <c r="F29" s="5"/>
      <c r="G29" s="5"/>
      <c r="H29" s="5"/>
      <c r="I29" s="5"/>
    </row>
  </sheetData>
  <mergeCells count="8">
    <mergeCell ref="H5:H6"/>
    <mergeCell ref="I5:I6"/>
    <mergeCell ref="A5:A6"/>
    <mergeCell ref="B5:B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9"/>
  <sheetViews>
    <sheetView workbookViewId="0">
      <pane xSplit="2" ySplit="9" topLeftCell="P10" activePane="bottomRight" state="frozen"/>
      <selection pane="topRight" activeCell="C1" sqref="C1"/>
      <selection pane="bottomLeft" activeCell="A9" sqref="A9"/>
      <selection pane="bottomRight" activeCell="AA8" sqref="AA8"/>
    </sheetView>
  </sheetViews>
  <sheetFormatPr defaultRowHeight="15" x14ac:dyDescent="0.25"/>
  <cols>
    <col min="1" max="1" width="4.140625" style="1" customWidth="1"/>
    <col min="2" max="2" width="19.7109375" style="1" customWidth="1"/>
    <col min="3" max="4" width="9.85546875" style="7" customWidth="1"/>
    <col min="5" max="5" width="11.5703125" style="1" customWidth="1"/>
    <col min="6" max="6" width="12.7109375" style="1" customWidth="1"/>
    <col min="7" max="7" width="11.7109375" style="1" customWidth="1"/>
    <col min="8" max="8" width="12.140625" style="1" customWidth="1"/>
    <col min="9" max="9" width="11.42578125" style="1" customWidth="1"/>
    <col min="10" max="10" width="13.28515625" style="1" customWidth="1"/>
    <col min="11" max="11" width="12.28515625" style="1" customWidth="1"/>
    <col min="12" max="12" width="10.28515625" style="1" customWidth="1"/>
    <col min="13" max="14" width="10.140625" style="1" customWidth="1"/>
    <col min="15" max="15" width="11.5703125" style="1" customWidth="1"/>
    <col min="16" max="16" width="11.140625" style="1" customWidth="1"/>
    <col min="17" max="17" width="1" style="1" hidden="1" customWidth="1"/>
    <col min="18" max="18" width="11" style="1" customWidth="1"/>
    <col min="19" max="19" width="11.28515625" style="1" bestFit="1" customWidth="1"/>
    <col min="20" max="20" width="10.7109375" style="1" customWidth="1"/>
    <col min="21" max="21" width="12.5703125" style="1" customWidth="1"/>
    <col min="22" max="22" width="13" style="1" customWidth="1"/>
    <col min="23" max="23" width="13" style="8" customWidth="1"/>
    <col min="24" max="24" width="14.28515625" style="8" customWidth="1"/>
    <col min="25" max="25" width="12.140625" style="8" customWidth="1"/>
    <col min="26" max="26" width="15.28515625" style="8" customWidth="1"/>
    <col min="27" max="27" width="9.42578125" style="5" bestFit="1" customWidth="1"/>
    <col min="28" max="28" width="9.140625" style="5"/>
    <col min="29" max="16384" width="9.140625" style="1"/>
  </cols>
  <sheetData>
    <row r="1" spans="1:28" ht="1.5" customHeight="1" x14ac:dyDescent="0.25"/>
    <row r="2" spans="1:28" s="23" customFormat="1" ht="4.5" customHeight="1" x14ac:dyDescent="0.25">
      <c r="C2" s="24"/>
      <c r="D2" s="24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W2" s="26"/>
      <c r="X2" s="26"/>
      <c r="Y2" s="26"/>
      <c r="Z2" s="26"/>
      <c r="AA2" s="27"/>
      <c r="AB2" s="27"/>
    </row>
    <row r="3" spans="1:28" s="23" customFormat="1" ht="15" customHeight="1" x14ac:dyDescent="0.3">
      <c r="A3" s="27"/>
      <c r="B3" s="130" t="s">
        <v>76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25"/>
      <c r="O3" s="25"/>
      <c r="P3" s="130" t="s">
        <v>75</v>
      </c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27"/>
    </row>
    <row r="4" spans="1:28" s="23" customFormat="1" ht="15" customHeight="1" x14ac:dyDescent="0.3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5"/>
      <c r="O4" s="25"/>
      <c r="P4" s="28"/>
      <c r="Q4" s="28"/>
      <c r="R4" s="28"/>
      <c r="S4" s="28"/>
      <c r="T4" s="28"/>
      <c r="U4" s="28"/>
      <c r="V4" s="28"/>
      <c r="W4" s="28"/>
      <c r="X4" s="28"/>
      <c r="Y4" s="28"/>
      <c r="Z4" s="29" t="s">
        <v>68</v>
      </c>
      <c r="AA4" s="63"/>
      <c r="AB4" s="27"/>
    </row>
    <row r="5" spans="1:28" ht="6" customHeight="1" x14ac:dyDescent="0.25"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28" hidden="1" x14ac:dyDescent="0.25"/>
    <row r="7" spans="1:28" ht="15" customHeight="1" x14ac:dyDescent="0.25">
      <c r="A7" s="31"/>
      <c r="B7" s="126" t="s">
        <v>28</v>
      </c>
      <c r="C7" s="133" t="s">
        <v>29</v>
      </c>
      <c r="D7" s="134"/>
      <c r="E7" s="134"/>
      <c r="F7" s="134"/>
      <c r="G7" s="135"/>
      <c r="H7" s="136" t="s">
        <v>44</v>
      </c>
      <c r="I7" s="136"/>
      <c r="J7" s="136"/>
      <c r="K7" s="136"/>
      <c r="L7" s="137"/>
      <c r="M7" s="137"/>
      <c r="N7" s="137"/>
      <c r="O7" s="137"/>
      <c r="P7" s="138"/>
      <c r="Q7" s="138"/>
      <c r="R7" s="138"/>
      <c r="S7" s="138"/>
      <c r="T7" s="139"/>
      <c r="U7" s="128" t="s">
        <v>67</v>
      </c>
      <c r="V7" s="128" t="s">
        <v>32</v>
      </c>
      <c r="W7" s="131" t="s">
        <v>48</v>
      </c>
      <c r="X7" s="122" t="s">
        <v>36</v>
      </c>
      <c r="Y7" s="122" t="s">
        <v>37</v>
      </c>
      <c r="Z7" s="122" t="s">
        <v>38</v>
      </c>
    </row>
    <row r="8" spans="1:28" s="16" customFormat="1" ht="122.25" customHeight="1" x14ac:dyDescent="0.25">
      <c r="A8" s="54" t="s">
        <v>30</v>
      </c>
      <c r="B8" s="132"/>
      <c r="C8" s="55" t="s">
        <v>78</v>
      </c>
      <c r="D8" s="55" t="s">
        <v>79</v>
      </c>
      <c r="E8" s="55" t="s">
        <v>80</v>
      </c>
      <c r="F8" s="55" t="s">
        <v>43</v>
      </c>
      <c r="G8" s="55" t="s">
        <v>31</v>
      </c>
      <c r="H8" s="56" t="s">
        <v>81</v>
      </c>
      <c r="I8" s="56" t="s">
        <v>45</v>
      </c>
      <c r="J8" s="56" t="s">
        <v>46</v>
      </c>
      <c r="K8" s="56" t="s">
        <v>82</v>
      </c>
      <c r="L8" s="140" t="s">
        <v>83</v>
      </c>
      <c r="M8" s="141"/>
      <c r="N8" s="142"/>
      <c r="O8" s="55" t="s">
        <v>45</v>
      </c>
      <c r="P8" s="57" t="s">
        <v>46</v>
      </c>
      <c r="Q8" s="46"/>
      <c r="R8" s="140" t="s">
        <v>84</v>
      </c>
      <c r="S8" s="141"/>
      <c r="T8" s="142"/>
      <c r="U8" s="129"/>
      <c r="V8" s="129"/>
      <c r="W8" s="131"/>
      <c r="X8" s="122"/>
      <c r="Y8" s="122"/>
      <c r="Z8" s="122"/>
      <c r="AA8" s="69"/>
      <c r="AB8" s="69"/>
    </row>
    <row r="9" spans="1:28" s="22" customFormat="1" x14ac:dyDescent="0.25">
      <c r="A9" s="32">
        <v>1</v>
      </c>
      <c r="B9" s="30">
        <v>2</v>
      </c>
      <c r="C9" s="55">
        <v>3</v>
      </c>
      <c r="D9" s="55">
        <v>4</v>
      </c>
      <c r="E9" s="30">
        <v>5</v>
      </c>
      <c r="F9" s="30">
        <v>6</v>
      </c>
      <c r="G9" s="30">
        <v>7</v>
      </c>
      <c r="H9" s="30">
        <v>8</v>
      </c>
      <c r="I9" s="30">
        <v>9</v>
      </c>
      <c r="J9" s="30">
        <v>10</v>
      </c>
      <c r="K9" s="30">
        <v>11</v>
      </c>
      <c r="L9" s="55">
        <v>12</v>
      </c>
      <c r="M9" s="55">
        <v>13</v>
      </c>
      <c r="N9" s="55">
        <v>14</v>
      </c>
      <c r="O9" s="67">
        <v>15</v>
      </c>
      <c r="P9" s="67">
        <v>16</v>
      </c>
      <c r="Q9" s="30"/>
      <c r="R9" s="55">
        <v>17</v>
      </c>
      <c r="S9" s="55">
        <v>18</v>
      </c>
      <c r="T9" s="55">
        <v>19</v>
      </c>
      <c r="U9" s="67">
        <v>20</v>
      </c>
      <c r="V9" s="67">
        <v>21</v>
      </c>
      <c r="W9" s="30">
        <v>22</v>
      </c>
      <c r="X9" s="32">
        <v>23</v>
      </c>
      <c r="Y9" s="32">
        <v>24</v>
      </c>
      <c r="Z9" s="32">
        <v>25</v>
      </c>
      <c r="AA9" s="70"/>
      <c r="AB9" s="70"/>
    </row>
    <row r="10" spans="1:28" s="3" customFormat="1" ht="40.5" customHeight="1" x14ac:dyDescent="0.25">
      <c r="A10" s="33"/>
      <c r="B10" s="34"/>
      <c r="C10" s="78"/>
      <c r="D10" s="78"/>
      <c r="E10" s="34"/>
      <c r="F10" s="81"/>
      <c r="G10" s="81"/>
      <c r="H10" s="85"/>
      <c r="I10" s="85"/>
      <c r="J10" s="85"/>
      <c r="K10" s="86"/>
      <c r="L10" s="87" t="s">
        <v>33</v>
      </c>
      <c r="M10" s="87" t="s">
        <v>34</v>
      </c>
      <c r="N10" s="57" t="s">
        <v>7</v>
      </c>
      <c r="O10" s="85"/>
      <c r="P10" s="81"/>
      <c r="Q10" s="64"/>
      <c r="R10" s="93" t="s">
        <v>33</v>
      </c>
      <c r="S10" s="93" t="s">
        <v>35</v>
      </c>
      <c r="T10" s="56" t="s">
        <v>7</v>
      </c>
      <c r="U10" s="85" t="s">
        <v>47</v>
      </c>
      <c r="V10" s="85" t="s">
        <v>51</v>
      </c>
      <c r="W10" s="81"/>
      <c r="X10" s="104"/>
      <c r="Y10" s="105" t="s">
        <v>49</v>
      </c>
      <c r="Z10" s="105" t="s">
        <v>50</v>
      </c>
      <c r="AA10" s="106"/>
      <c r="AB10" s="107"/>
    </row>
    <row r="11" spans="1:28" x14ac:dyDescent="0.25">
      <c r="A11" s="35">
        <v>1</v>
      </c>
      <c r="B11" s="36" t="s">
        <v>8</v>
      </c>
      <c r="C11" s="79">
        <v>1356340</v>
      </c>
      <c r="D11" s="79">
        <v>17600152</v>
      </c>
      <c r="E11" s="82"/>
      <c r="F11" s="83">
        <f>D11/D23*E23</f>
        <v>18104568.553250071</v>
      </c>
      <c r="G11" s="83">
        <v>17632420</v>
      </c>
      <c r="H11" s="83">
        <v>3899000</v>
      </c>
      <c r="I11" s="83"/>
      <c r="J11" s="83">
        <f>SUM(H11/H23*I23)</f>
        <v>4611916.0236856276</v>
      </c>
      <c r="K11" s="79">
        <v>4500000</v>
      </c>
      <c r="L11" s="88">
        <v>1994000</v>
      </c>
      <c r="M11" s="89">
        <v>9105000</v>
      </c>
      <c r="N11" s="89">
        <f>L11+M11</f>
        <v>11099000</v>
      </c>
      <c r="O11" s="79"/>
      <c r="P11" s="83">
        <f>N11/N23*O23</f>
        <v>12776646.843019374</v>
      </c>
      <c r="Q11" s="58"/>
      <c r="R11" s="79">
        <v>3239400</v>
      </c>
      <c r="S11" s="78">
        <v>8676700</v>
      </c>
      <c r="T11" s="78">
        <f>R11+S11</f>
        <v>11916100</v>
      </c>
      <c r="U11" s="94">
        <f>F11+P11+J11</f>
        <v>35493131.419955075</v>
      </c>
      <c r="V11" s="94">
        <f t="shared" ref="V11:V22" si="0">T11+K11+G11</f>
        <v>34048520</v>
      </c>
      <c r="W11" s="88">
        <v>17185</v>
      </c>
      <c r="X11" s="108">
        <v>1019090</v>
      </c>
      <c r="Y11" s="108">
        <f>U11+X11</f>
        <v>36512221.419955075</v>
      </c>
      <c r="Z11" s="109">
        <f>SUM(Y11/W11)/(Y23/W23)</f>
        <v>0.89108454317258623</v>
      </c>
      <c r="AA11" s="110"/>
      <c r="AB11" s="66"/>
    </row>
    <row r="12" spans="1:28" x14ac:dyDescent="0.25">
      <c r="A12" s="35">
        <v>2</v>
      </c>
      <c r="B12" s="36" t="s">
        <v>9</v>
      </c>
      <c r="C12" s="79">
        <v>22705</v>
      </c>
      <c r="D12" s="79">
        <v>263781</v>
      </c>
      <c r="E12" s="82"/>
      <c r="F12" s="83">
        <f>D12/D23*E23</f>
        <v>271340.90646176558</v>
      </c>
      <c r="G12" s="83">
        <v>295165</v>
      </c>
      <c r="H12" s="83">
        <v>77000</v>
      </c>
      <c r="I12" s="83"/>
      <c r="J12" s="83">
        <f>SUM(H12/H23*I23)</f>
        <v>91079.131527005215</v>
      </c>
      <c r="K12" s="79">
        <v>100000</v>
      </c>
      <c r="L12" s="88">
        <v>249000</v>
      </c>
      <c r="M12" s="88">
        <v>298000</v>
      </c>
      <c r="N12" s="89">
        <f t="shared" ref="N12:N22" si="1">L12+M12</f>
        <v>547000</v>
      </c>
      <c r="O12" s="79"/>
      <c r="P12" s="83">
        <f>N12/N23*O23</f>
        <v>629680.67601870408</v>
      </c>
      <c r="Q12" s="58"/>
      <c r="R12" s="79">
        <v>485600</v>
      </c>
      <c r="S12" s="79">
        <v>215300</v>
      </c>
      <c r="T12" s="78">
        <f t="shared" ref="T12:T22" si="2">R12+S12</f>
        <v>700900</v>
      </c>
      <c r="U12" s="94">
        <f t="shared" ref="U12:U22" si="3">F12+P12+J12</f>
        <v>992100.71400747495</v>
      </c>
      <c r="V12" s="94">
        <f t="shared" si="0"/>
        <v>1096065</v>
      </c>
      <c r="W12" s="88">
        <v>1115</v>
      </c>
      <c r="X12" s="108">
        <v>66120</v>
      </c>
      <c r="Y12" s="108">
        <f t="shared" ref="Y12:Y22" si="4">U12+X12</f>
        <v>1058220.7140074749</v>
      </c>
      <c r="Z12" s="109">
        <f>SUM(Y12/W12)/(Y23/W23)</f>
        <v>0.39804445783933751</v>
      </c>
      <c r="AA12" s="110"/>
      <c r="AB12" s="66"/>
    </row>
    <row r="13" spans="1:28" x14ac:dyDescent="0.25">
      <c r="A13" s="35">
        <v>3</v>
      </c>
      <c r="B13" s="36" t="s">
        <v>10</v>
      </c>
      <c r="C13" s="79">
        <v>33115</v>
      </c>
      <c r="D13" s="79">
        <v>367870</v>
      </c>
      <c r="E13" s="82"/>
      <c r="F13" s="83">
        <f>D13/D23*E23</f>
        <v>378413.07471004245</v>
      </c>
      <c r="G13" s="83">
        <v>430495</v>
      </c>
      <c r="H13" s="83">
        <v>82000</v>
      </c>
      <c r="I13" s="83"/>
      <c r="J13" s="83">
        <f>SUM(H13/H23*I23)</f>
        <v>96993.360846940603</v>
      </c>
      <c r="K13" s="79">
        <v>108000</v>
      </c>
      <c r="L13" s="88">
        <v>166000</v>
      </c>
      <c r="M13" s="88">
        <v>100000</v>
      </c>
      <c r="N13" s="89">
        <f t="shared" si="1"/>
        <v>266000</v>
      </c>
      <c r="O13" s="79"/>
      <c r="P13" s="83">
        <f>N13/N23*O23</f>
        <v>306206.69071476284</v>
      </c>
      <c r="Q13" s="58"/>
      <c r="R13" s="79">
        <v>309500</v>
      </c>
      <c r="S13" s="79">
        <v>120000</v>
      </c>
      <c r="T13" s="78">
        <f t="shared" si="2"/>
        <v>429500</v>
      </c>
      <c r="U13" s="94">
        <f t="shared" si="3"/>
        <v>781613.12627174589</v>
      </c>
      <c r="V13" s="94">
        <f t="shared" si="0"/>
        <v>967995</v>
      </c>
      <c r="W13" s="88">
        <v>1171</v>
      </c>
      <c r="X13" s="108">
        <v>69440</v>
      </c>
      <c r="Y13" s="108">
        <f t="shared" si="4"/>
        <v>851053.12627174589</v>
      </c>
      <c r="Z13" s="109">
        <f>SUM(Y13/W13)/(Y23/W23)</f>
        <v>0.30481053049922596</v>
      </c>
      <c r="AA13" s="110"/>
      <c r="AB13" s="66"/>
    </row>
    <row r="14" spans="1:28" x14ac:dyDescent="0.25">
      <c r="A14" s="35">
        <v>4</v>
      </c>
      <c r="B14" s="36" t="s">
        <v>11</v>
      </c>
      <c r="C14" s="79">
        <v>57035</v>
      </c>
      <c r="D14" s="79">
        <v>452270</v>
      </c>
      <c r="E14" s="82"/>
      <c r="F14" s="83">
        <f>D14/D23*E23</f>
        <v>465231.96047275094</v>
      </c>
      <c r="G14" s="83">
        <v>741455</v>
      </c>
      <c r="H14" s="83">
        <v>82000</v>
      </c>
      <c r="I14" s="83"/>
      <c r="J14" s="83">
        <f>SUM(H14/H23*I23)</f>
        <v>96993.360846940603</v>
      </c>
      <c r="K14" s="79">
        <v>130000</v>
      </c>
      <c r="L14" s="88">
        <v>363000</v>
      </c>
      <c r="M14" s="88">
        <v>5548000</v>
      </c>
      <c r="N14" s="89">
        <f t="shared" si="1"/>
        <v>5911000</v>
      </c>
      <c r="O14" s="79"/>
      <c r="P14" s="83">
        <f>N14/N23*O23</f>
        <v>6804465.2211088846</v>
      </c>
      <c r="Q14" s="58"/>
      <c r="R14" s="79">
        <v>743800</v>
      </c>
      <c r="S14" s="79">
        <v>6013700</v>
      </c>
      <c r="T14" s="78">
        <f t="shared" si="2"/>
        <v>6757500</v>
      </c>
      <c r="U14" s="94">
        <f t="shared" si="3"/>
        <v>7366690.5424285755</v>
      </c>
      <c r="V14" s="94">
        <f t="shared" si="0"/>
        <v>7628955</v>
      </c>
      <c r="W14" s="88">
        <v>1168</v>
      </c>
      <c r="X14" s="108">
        <v>69260</v>
      </c>
      <c r="Y14" s="108">
        <f t="shared" si="4"/>
        <v>7435950.5424285755</v>
      </c>
      <c r="Z14" s="109">
        <f>SUM(Y14/W14)/(Y23/W23)</f>
        <v>2.6700773348851543</v>
      </c>
      <c r="AA14" s="110"/>
      <c r="AB14" s="66"/>
    </row>
    <row r="15" spans="1:28" x14ac:dyDescent="0.25">
      <c r="A15" s="35">
        <v>5</v>
      </c>
      <c r="B15" s="36" t="s">
        <v>12</v>
      </c>
      <c r="C15" s="79">
        <v>48233</v>
      </c>
      <c r="D15" s="79">
        <v>609461</v>
      </c>
      <c r="E15" s="82"/>
      <c r="F15" s="83">
        <f>D15/D23*E23</f>
        <v>626928.02056665986</v>
      </c>
      <c r="G15" s="83">
        <v>627029</v>
      </c>
      <c r="H15" s="83">
        <v>133000</v>
      </c>
      <c r="I15" s="83"/>
      <c r="J15" s="83">
        <f>SUM(H15/H23*I23)</f>
        <v>157318.49991028171</v>
      </c>
      <c r="K15" s="79">
        <v>290000</v>
      </c>
      <c r="L15" s="88">
        <v>381000</v>
      </c>
      <c r="M15" s="88">
        <v>5841000</v>
      </c>
      <c r="N15" s="89">
        <f t="shared" si="1"/>
        <v>6222000</v>
      </c>
      <c r="O15" s="79"/>
      <c r="P15" s="83">
        <f>N15/N23*O23</f>
        <v>7162473.7955911821</v>
      </c>
      <c r="Q15" s="58"/>
      <c r="R15" s="79">
        <v>785600</v>
      </c>
      <c r="S15" s="79">
        <v>6201300</v>
      </c>
      <c r="T15" s="78">
        <f t="shared" si="2"/>
        <v>6986900</v>
      </c>
      <c r="U15" s="94">
        <f t="shared" si="3"/>
        <v>7946720.316068124</v>
      </c>
      <c r="V15" s="94">
        <f t="shared" si="0"/>
        <v>7903929</v>
      </c>
      <c r="W15" s="88">
        <v>1450</v>
      </c>
      <c r="X15" s="108">
        <v>85990</v>
      </c>
      <c r="Y15" s="108">
        <f t="shared" si="4"/>
        <v>8032710.316068124</v>
      </c>
      <c r="Z15" s="109">
        <f>SUM(Y15/W15)/(Y23/W23)</f>
        <v>2.3234016503392847</v>
      </c>
      <c r="AA15" s="110"/>
      <c r="AB15" s="66"/>
    </row>
    <row r="16" spans="1:28" x14ac:dyDescent="0.25">
      <c r="A16" s="35">
        <v>6</v>
      </c>
      <c r="B16" s="36" t="s">
        <v>13</v>
      </c>
      <c r="C16" s="79">
        <v>23078</v>
      </c>
      <c r="D16" s="79">
        <v>299174</v>
      </c>
      <c r="E16" s="82"/>
      <c r="F16" s="83">
        <f>D16/D23*E23</f>
        <v>307748.26219398767</v>
      </c>
      <c r="G16" s="83">
        <v>300014</v>
      </c>
      <c r="H16" s="83">
        <v>56000</v>
      </c>
      <c r="I16" s="83"/>
      <c r="J16" s="83">
        <f>SUM(H16/H23*I23)</f>
        <v>66239.368383276509</v>
      </c>
      <c r="K16" s="79">
        <v>70000</v>
      </c>
      <c r="L16" s="88">
        <v>232000</v>
      </c>
      <c r="M16" s="88">
        <v>9132000</v>
      </c>
      <c r="N16" s="89">
        <f t="shared" si="1"/>
        <v>9364000</v>
      </c>
      <c r="O16" s="79"/>
      <c r="P16" s="83">
        <f>N16/N23*O23</f>
        <v>10779396.435537742</v>
      </c>
      <c r="Q16" s="58"/>
      <c r="R16" s="79">
        <v>389800</v>
      </c>
      <c r="S16" s="79">
        <v>9482500</v>
      </c>
      <c r="T16" s="78">
        <f t="shared" si="2"/>
        <v>9872300</v>
      </c>
      <c r="U16" s="94">
        <f t="shared" si="3"/>
        <v>11153384.066115007</v>
      </c>
      <c r="V16" s="94">
        <f t="shared" si="0"/>
        <v>10242314</v>
      </c>
      <c r="W16" s="88">
        <v>909</v>
      </c>
      <c r="X16" s="108">
        <v>53900</v>
      </c>
      <c r="Y16" s="108">
        <f t="shared" si="4"/>
        <v>11207284.066115007</v>
      </c>
      <c r="Z16" s="109">
        <f>SUM(Y16/W16)/(Y23/W23)</f>
        <v>5.1709065266440026</v>
      </c>
      <c r="AA16" s="110"/>
      <c r="AB16" s="66"/>
    </row>
    <row r="17" spans="1:28" x14ac:dyDescent="0.25">
      <c r="A17" s="35">
        <v>7</v>
      </c>
      <c r="B17" s="36" t="s">
        <v>14</v>
      </c>
      <c r="C17" s="79">
        <v>20738</v>
      </c>
      <c r="D17" s="79">
        <v>269667</v>
      </c>
      <c r="E17" s="82"/>
      <c r="F17" s="83">
        <f>D17/D23*E23</f>
        <v>277395.59794990899</v>
      </c>
      <c r="G17" s="83">
        <v>269594</v>
      </c>
      <c r="H17" s="83">
        <v>71000</v>
      </c>
      <c r="I17" s="83"/>
      <c r="J17" s="83">
        <f>SUM(H17/H23*I23)</f>
        <v>83982.056343082717</v>
      </c>
      <c r="K17" s="79">
        <v>170000</v>
      </c>
      <c r="L17" s="88">
        <v>315000</v>
      </c>
      <c r="M17" s="88">
        <v>71000</v>
      </c>
      <c r="N17" s="89">
        <f t="shared" si="1"/>
        <v>386000</v>
      </c>
      <c r="O17" s="79"/>
      <c r="P17" s="83">
        <f>N17/N23*O23</f>
        <v>444345.04742818972</v>
      </c>
      <c r="Q17" s="58"/>
      <c r="R17" s="79">
        <v>669000</v>
      </c>
      <c r="S17" s="79">
        <v>140800</v>
      </c>
      <c r="T17" s="78">
        <f t="shared" si="2"/>
        <v>809800</v>
      </c>
      <c r="U17" s="94">
        <f t="shared" si="3"/>
        <v>805722.70172118139</v>
      </c>
      <c r="V17" s="94">
        <f t="shared" si="0"/>
        <v>1249394</v>
      </c>
      <c r="W17" s="88">
        <v>1088</v>
      </c>
      <c r="X17" s="108">
        <v>64520</v>
      </c>
      <c r="Y17" s="108">
        <f t="shared" si="4"/>
        <v>870242.70172118139</v>
      </c>
      <c r="Z17" s="109">
        <f>SUM(Y17/W17)/(Y23/W23)</f>
        <v>0.33546072780698982</v>
      </c>
      <c r="AA17" s="110"/>
      <c r="AB17" s="66"/>
    </row>
    <row r="18" spans="1:28" x14ac:dyDescent="0.25">
      <c r="A18" s="35">
        <v>8</v>
      </c>
      <c r="B18" s="36" t="s">
        <v>15</v>
      </c>
      <c r="C18" s="79">
        <v>154253</v>
      </c>
      <c r="D18" s="79">
        <v>1904945</v>
      </c>
      <c r="E18" s="82"/>
      <c r="F18" s="83">
        <f>D18/D23*E23</f>
        <v>1959540.312076336</v>
      </c>
      <c r="G18" s="83">
        <v>2005289</v>
      </c>
      <c r="H18" s="83">
        <v>134000</v>
      </c>
      <c r="I18" s="83"/>
      <c r="J18" s="83">
        <f>SUM(H18/H23*I23)</f>
        <v>158501.34577426879</v>
      </c>
      <c r="K18" s="79">
        <v>215000</v>
      </c>
      <c r="L18" s="88">
        <v>483000</v>
      </c>
      <c r="M18" s="88">
        <v>419000</v>
      </c>
      <c r="N18" s="89">
        <f t="shared" si="1"/>
        <v>902000</v>
      </c>
      <c r="O18" s="79"/>
      <c r="P18" s="83">
        <f>N18/N23*O23</f>
        <v>1038339.9812959251</v>
      </c>
      <c r="Q18" s="58"/>
      <c r="R18" s="79">
        <v>931200</v>
      </c>
      <c r="S18" s="79">
        <v>429600</v>
      </c>
      <c r="T18" s="78">
        <f t="shared" si="2"/>
        <v>1360800</v>
      </c>
      <c r="U18" s="94">
        <f t="shared" si="3"/>
        <v>3156381.6391465301</v>
      </c>
      <c r="V18" s="94">
        <f t="shared" si="0"/>
        <v>3581089</v>
      </c>
      <c r="W18" s="88">
        <v>1403</v>
      </c>
      <c r="X18" s="108">
        <v>83200</v>
      </c>
      <c r="Y18" s="108">
        <f t="shared" si="4"/>
        <v>3239581.6391465301</v>
      </c>
      <c r="Z18" s="109">
        <f>SUM(Y18/W18)/(Y23/W23)</f>
        <v>0.96841486755431705</v>
      </c>
      <c r="AA18" s="110"/>
      <c r="AB18" s="66"/>
    </row>
    <row r="19" spans="1:28" x14ac:dyDescent="0.25">
      <c r="A19" s="35">
        <v>9</v>
      </c>
      <c r="B19" s="36" t="s">
        <v>16</v>
      </c>
      <c r="C19" s="79">
        <v>26613</v>
      </c>
      <c r="D19" s="79">
        <v>292194</v>
      </c>
      <c r="E19" s="82"/>
      <c r="F19" s="83">
        <f>D19/D23*E23</f>
        <v>300568.21690223762</v>
      </c>
      <c r="G19" s="83">
        <v>345969</v>
      </c>
      <c r="H19" s="83">
        <v>257000</v>
      </c>
      <c r="I19" s="83"/>
      <c r="J19" s="83">
        <f>SUM(H19/H23*I23)</f>
        <v>303991.38704467972</v>
      </c>
      <c r="K19" s="79">
        <v>280000</v>
      </c>
      <c r="L19" s="88">
        <v>568000</v>
      </c>
      <c r="M19" s="88">
        <v>205000</v>
      </c>
      <c r="N19" s="89">
        <f t="shared" si="1"/>
        <v>773000</v>
      </c>
      <c r="O19" s="79"/>
      <c r="P19" s="83">
        <f>N19/N23*O23</f>
        <v>889841.24782899127</v>
      </c>
      <c r="Q19" s="58"/>
      <c r="R19" s="79">
        <v>881200</v>
      </c>
      <c r="S19" s="79">
        <v>269000</v>
      </c>
      <c r="T19" s="78">
        <f t="shared" si="2"/>
        <v>1150200</v>
      </c>
      <c r="U19" s="94">
        <f t="shared" si="3"/>
        <v>1494400.8517759088</v>
      </c>
      <c r="V19" s="94">
        <f t="shared" si="0"/>
        <v>1776169</v>
      </c>
      <c r="W19" s="88">
        <v>1905</v>
      </c>
      <c r="X19" s="108">
        <v>112970</v>
      </c>
      <c r="Y19" s="108">
        <f t="shared" si="4"/>
        <v>1607370.8517759088</v>
      </c>
      <c r="Z19" s="109">
        <f>SUM(Y19/W19)/(Y23/W23)</f>
        <v>0.35387615429581909</v>
      </c>
      <c r="AA19" s="110"/>
      <c r="AB19" s="66"/>
    </row>
    <row r="20" spans="1:28" x14ac:dyDescent="0.25">
      <c r="A20" s="35">
        <v>10</v>
      </c>
      <c r="B20" s="36" t="s">
        <v>17</v>
      </c>
      <c r="C20" s="79">
        <v>106909</v>
      </c>
      <c r="D20" s="79">
        <v>1288680</v>
      </c>
      <c r="E20" s="82"/>
      <c r="F20" s="83">
        <f>D20/D23*E23</f>
        <v>1325613.2903398958</v>
      </c>
      <c r="G20" s="83">
        <v>1389817</v>
      </c>
      <c r="H20" s="83">
        <v>154000</v>
      </c>
      <c r="I20" s="83"/>
      <c r="J20" s="83">
        <f>SUM(H20/H23*I23)</f>
        <v>182158.26305401043</v>
      </c>
      <c r="K20" s="79">
        <v>182000</v>
      </c>
      <c r="L20" s="88">
        <v>467000</v>
      </c>
      <c r="M20" s="88">
        <v>365000</v>
      </c>
      <c r="N20" s="89">
        <f t="shared" si="1"/>
        <v>832000</v>
      </c>
      <c r="O20" s="79"/>
      <c r="P20" s="83">
        <f>N20/N23*O23</f>
        <v>957759.27321309294</v>
      </c>
      <c r="Q20" s="58"/>
      <c r="R20" s="79">
        <v>975700</v>
      </c>
      <c r="S20" s="79">
        <v>457000</v>
      </c>
      <c r="T20" s="78">
        <f t="shared" si="2"/>
        <v>1432700</v>
      </c>
      <c r="U20" s="94">
        <f t="shared" si="3"/>
        <v>2465530.8266069992</v>
      </c>
      <c r="V20" s="94">
        <f t="shared" si="0"/>
        <v>3004517</v>
      </c>
      <c r="W20" s="88">
        <v>1921</v>
      </c>
      <c r="X20" s="108">
        <v>113920</v>
      </c>
      <c r="Y20" s="108">
        <f t="shared" si="4"/>
        <v>2579450.8266069992</v>
      </c>
      <c r="Z20" s="109">
        <f>SUM(Y20/W20)/(Y23/W23)</f>
        <v>0.56315776764393544</v>
      </c>
      <c r="AA20" s="110"/>
      <c r="AB20" s="66"/>
    </row>
    <row r="21" spans="1:28" x14ac:dyDescent="0.25">
      <c r="A21" s="35">
        <v>11</v>
      </c>
      <c r="B21" s="36" t="s">
        <v>18</v>
      </c>
      <c r="C21" s="79">
        <v>45386</v>
      </c>
      <c r="D21" s="79">
        <v>579793</v>
      </c>
      <c r="E21" s="82"/>
      <c r="F21" s="83">
        <f>D21/D23*E23</f>
        <v>596409.74209737033</v>
      </c>
      <c r="G21" s="83">
        <v>590018</v>
      </c>
      <c r="H21" s="83">
        <v>168000</v>
      </c>
      <c r="I21" s="83"/>
      <c r="J21" s="83">
        <f>SUM(H21/H23*I23)</f>
        <v>198718.10514982953</v>
      </c>
      <c r="K21" s="79">
        <v>263000</v>
      </c>
      <c r="L21" s="88">
        <v>241000</v>
      </c>
      <c r="M21" s="88">
        <v>191000</v>
      </c>
      <c r="N21" s="89">
        <f t="shared" si="1"/>
        <v>432000</v>
      </c>
      <c r="O21" s="79"/>
      <c r="P21" s="83">
        <f>N21/N23*O23</f>
        <v>497298.0841683367</v>
      </c>
      <c r="Q21" s="58"/>
      <c r="R21" s="79">
        <v>464700</v>
      </c>
      <c r="S21" s="79">
        <v>238500</v>
      </c>
      <c r="T21" s="78">
        <f t="shared" si="2"/>
        <v>703200</v>
      </c>
      <c r="U21" s="94">
        <f t="shared" si="3"/>
        <v>1292425.9314155367</v>
      </c>
      <c r="V21" s="94">
        <f t="shared" si="0"/>
        <v>1556218</v>
      </c>
      <c r="W21" s="88">
        <v>1496</v>
      </c>
      <c r="X21" s="108">
        <v>88720</v>
      </c>
      <c r="Y21" s="108">
        <f t="shared" si="4"/>
        <v>1381145.9314155367</v>
      </c>
      <c r="Z21" s="109">
        <f>SUM(Y21/W21)/(Y23/W23)</f>
        <v>0.38720251128602584</v>
      </c>
      <c r="AA21" s="110"/>
      <c r="AB21" s="66"/>
    </row>
    <row r="22" spans="1:28" x14ac:dyDescent="0.25">
      <c r="A22" s="35">
        <v>12</v>
      </c>
      <c r="B22" s="36" t="s">
        <v>19</v>
      </c>
      <c r="C22" s="79">
        <v>44384</v>
      </c>
      <c r="D22" s="79">
        <v>574047</v>
      </c>
      <c r="E22" s="82"/>
      <c r="F22" s="83">
        <f>D22/D23*E23</f>
        <v>590499.06297897559</v>
      </c>
      <c r="G22" s="83">
        <v>576992</v>
      </c>
      <c r="H22" s="83">
        <v>460000</v>
      </c>
      <c r="I22" s="83"/>
      <c r="J22" s="83">
        <f>SUM(H22/H23*I23)</f>
        <v>544109.09743405704</v>
      </c>
      <c r="K22" s="79">
        <v>284000</v>
      </c>
      <c r="L22" s="88">
        <v>475000</v>
      </c>
      <c r="M22" s="88">
        <v>216000</v>
      </c>
      <c r="N22" s="89">
        <f t="shared" si="1"/>
        <v>691000</v>
      </c>
      <c r="O22" s="79"/>
      <c r="P22" s="83">
        <f>N22/N23*O23</f>
        <v>795446.70407481631</v>
      </c>
      <c r="Q22" s="58"/>
      <c r="R22" s="79">
        <v>437100</v>
      </c>
      <c r="S22" s="79">
        <v>524900</v>
      </c>
      <c r="T22" s="78">
        <f t="shared" si="2"/>
        <v>962000</v>
      </c>
      <c r="U22" s="94">
        <f t="shared" si="3"/>
        <v>1930054.8644878487</v>
      </c>
      <c r="V22" s="94">
        <f t="shared" si="0"/>
        <v>1822992</v>
      </c>
      <c r="W22" s="88">
        <v>1394</v>
      </c>
      <c r="X22" s="108">
        <v>82670</v>
      </c>
      <c r="Y22" s="108">
        <f t="shared" si="4"/>
        <v>2012724.8644878487</v>
      </c>
      <c r="Z22" s="109">
        <f>SUM(Y22/W22)/(Y23/W23)</f>
        <v>0.60555253767739381</v>
      </c>
      <c r="AA22" s="110"/>
      <c r="AB22" s="66"/>
    </row>
    <row r="23" spans="1:28" s="6" customFormat="1" ht="16.5" customHeight="1" x14ac:dyDescent="0.25">
      <c r="A23" s="37"/>
      <c r="B23" s="36" t="s">
        <v>7</v>
      </c>
      <c r="C23" s="80">
        <f>SUM(C11:C22)</f>
        <v>1938789</v>
      </c>
      <c r="D23" s="80">
        <f>SUM(D11:D22)</f>
        <v>24502034</v>
      </c>
      <c r="E23" s="84">
        <v>25204257</v>
      </c>
      <c r="F23" s="84">
        <f>SUM(F11:F22)</f>
        <v>25204257</v>
      </c>
      <c r="G23" s="84">
        <f>SUM(G11:G22)</f>
        <v>25204257</v>
      </c>
      <c r="H23" s="84">
        <f t="shared" ref="H23:K23" si="5">SUM(H11:H22)</f>
        <v>5573000</v>
      </c>
      <c r="I23" s="84">
        <v>6592000</v>
      </c>
      <c r="J23" s="84">
        <f t="shared" si="5"/>
        <v>6591999.9999999991</v>
      </c>
      <c r="K23" s="84">
        <f t="shared" si="5"/>
        <v>6592000</v>
      </c>
      <c r="L23" s="90">
        <f t="shared" ref="L23:N23" si="6">SUM(L11:L22)</f>
        <v>5934000</v>
      </c>
      <c r="M23" s="90">
        <f t="shared" si="6"/>
        <v>31491000</v>
      </c>
      <c r="N23" s="90">
        <f t="shared" si="6"/>
        <v>37425000</v>
      </c>
      <c r="O23" s="79">
        <v>43081900</v>
      </c>
      <c r="P23" s="84">
        <f t="shared" ref="P23" si="7">SUM(P11:P22)</f>
        <v>43081900.000000007</v>
      </c>
      <c r="Q23" s="58"/>
      <c r="R23" s="80">
        <f t="shared" ref="R23:Y23" si="8">SUM(R11:R22)</f>
        <v>10312600</v>
      </c>
      <c r="S23" s="84">
        <f t="shared" si="8"/>
        <v>32769300</v>
      </c>
      <c r="T23" s="80">
        <f t="shared" si="8"/>
        <v>43081900</v>
      </c>
      <c r="U23" s="84">
        <f>SUM(U11:U22)</f>
        <v>74878157.000000015</v>
      </c>
      <c r="V23" s="84">
        <f t="shared" si="8"/>
        <v>74878157</v>
      </c>
      <c r="W23" s="90">
        <f t="shared" ref="W23" si="9">SUM(W11:W22)</f>
        <v>32205</v>
      </c>
      <c r="X23" s="111">
        <f>SUM(X11:X22)</f>
        <v>1909800</v>
      </c>
      <c r="Y23" s="112">
        <f t="shared" si="8"/>
        <v>76787957.000000015</v>
      </c>
      <c r="Z23" s="113">
        <f>SUM(Y23/W23)/(Y23/W23)</f>
        <v>1</v>
      </c>
      <c r="AA23" s="114"/>
      <c r="AB23" s="115"/>
    </row>
    <row r="24" spans="1:28" x14ac:dyDescent="0.25">
      <c r="A24" s="31"/>
      <c r="B24" s="36"/>
      <c r="C24" s="79"/>
      <c r="D24" s="79"/>
      <c r="E24" s="36"/>
      <c r="F24" s="36"/>
      <c r="G24" s="36"/>
      <c r="H24" s="36"/>
      <c r="I24" s="36"/>
      <c r="J24" s="36"/>
      <c r="K24" s="36"/>
      <c r="L24" s="91"/>
      <c r="M24" s="91"/>
      <c r="N24" s="91"/>
      <c r="O24" s="36"/>
      <c r="P24" s="36"/>
      <c r="Q24" s="59"/>
      <c r="R24" s="36"/>
      <c r="S24" s="36"/>
      <c r="T24" s="36"/>
      <c r="U24" s="36"/>
      <c r="V24" s="36"/>
      <c r="W24" s="88"/>
      <c r="X24" s="116"/>
      <c r="Y24" s="116"/>
      <c r="Z24" s="116"/>
      <c r="AA24" s="66"/>
      <c r="AB24" s="66"/>
    </row>
    <row r="25" spans="1:28" x14ac:dyDescent="0.25">
      <c r="A25" s="31"/>
      <c r="B25" s="36"/>
      <c r="C25" s="79"/>
      <c r="D25" s="79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59"/>
      <c r="R25" s="36"/>
      <c r="S25" s="36"/>
      <c r="T25" s="36"/>
      <c r="U25" s="36"/>
      <c r="V25" s="36"/>
      <c r="W25" s="88"/>
      <c r="X25" s="116"/>
      <c r="Y25" s="116"/>
      <c r="Z25" s="116"/>
      <c r="AA25" s="66"/>
      <c r="AB25" s="66"/>
    </row>
    <row r="26" spans="1:28" x14ac:dyDescent="0.25">
      <c r="B26" s="5"/>
      <c r="C26" s="14"/>
      <c r="D26" s="14"/>
      <c r="E26" s="5"/>
      <c r="F26" s="5"/>
      <c r="G26" s="5"/>
      <c r="H26" s="5"/>
      <c r="I26" s="5"/>
      <c r="J26" s="5"/>
      <c r="K26" s="5"/>
      <c r="L26" s="92"/>
      <c r="M26" s="92"/>
      <c r="N26" s="92"/>
      <c r="O26" s="5"/>
      <c r="P26" s="5"/>
      <c r="Q26" s="12"/>
      <c r="R26" s="5"/>
      <c r="S26" s="5"/>
      <c r="T26" s="5"/>
      <c r="U26" s="5"/>
      <c r="V26" s="5"/>
      <c r="W26" s="9"/>
      <c r="X26" s="117"/>
      <c r="Y26" s="117"/>
      <c r="Z26" s="117"/>
      <c r="AA26" s="66"/>
      <c r="AB26" s="66"/>
    </row>
    <row r="27" spans="1:28" x14ac:dyDescent="0.25">
      <c r="C27" s="14"/>
      <c r="D27" s="65"/>
      <c r="E27" s="66"/>
      <c r="F27" s="66"/>
      <c r="G27" s="66"/>
      <c r="H27" s="5"/>
      <c r="I27" s="5"/>
      <c r="J27" s="5"/>
      <c r="K27" s="5"/>
      <c r="L27" s="66"/>
      <c r="M27" s="66"/>
      <c r="N27" s="66"/>
      <c r="O27" s="66"/>
      <c r="P27" s="66"/>
      <c r="Q27" s="12"/>
      <c r="R27" s="5"/>
      <c r="S27" s="5"/>
      <c r="T27" s="5"/>
      <c r="U27" s="66"/>
      <c r="V27" s="66"/>
      <c r="W27" s="9"/>
      <c r="X27" s="9"/>
      <c r="Y27" s="9"/>
      <c r="Z27" s="9"/>
    </row>
    <row r="28" spans="1:28" x14ac:dyDescent="0.25">
      <c r="R28" s="66"/>
      <c r="S28" s="66"/>
      <c r="T28" s="66"/>
      <c r="U28" s="66"/>
      <c r="V28" s="66"/>
      <c r="W28" s="9"/>
      <c r="X28" s="9"/>
      <c r="Y28" s="9"/>
      <c r="Z28" s="9"/>
    </row>
    <row r="29" spans="1:28" x14ac:dyDescent="0.25">
      <c r="W29" s="9"/>
      <c r="X29" s="9"/>
      <c r="Y29" s="9"/>
      <c r="Z29" s="9"/>
    </row>
  </sheetData>
  <mergeCells count="14">
    <mergeCell ref="B3:M3"/>
    <mergeCell ref="P3:AA3"/>
    <mergeCell ref="W7:W8"/>
    <mergeCell ref="X7:X8"/>
    <mergeCell ref="Y7:Y8"/>
    <mergeCell ref="Z7:Z8"/>
    <mergeCell ref="U7:U8"/>
    <mergeCell ref="V7:V8"/>
    <mergeCell ref="B7:B8"/>
    <mergeCell ref="C7:G7"/>
    <mergeCell ref="H7:K7"/>
    <mergeCell ref="L7:T7"/>
    <mergeCell ref="L8:N8"/>
    <mergeCell ref="R8:T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7"/>
  <sheetViews>
    <sheetView tabSelected="1" topLeftCell="E4" zoomScaleNormal="100" workbookViewId="0">
      <selection activeCell="C29" sqref="C29:C34"/>
    </sheetView>
  </sheetViews>
  <sheetFormatPr defaultRowHeight="15" x14ac:dyDescent="0.25"/>
  <cols>
    <col min="1" max="1" width="23" style="1" customWidth="1"/>
    <col min="2" max="2" width="13.140625" style="1" customWidth="1"/>
    <col min="3" max="3" width="12.28515625" style="1" customWidth="1"/>
    <col min="4" max="4" width="11.140625" style="1" customWidth="1"/>
    <col min="5" max="5" width="10.28515625" style="1" customWidth="1"/>
    <col min="6" max="6" width="13.140625" style="1" customWidth="1"/>
    <col min="7" max="8" width="9.85546875" style="1" customWidth="1"/>
    <col min="9" max="9" width="9.7109375" style="1" bestFit="1" customWidth="1"/>
    <col min="10" max="10" width="13.7109375" style="1" customWidth="1"/>
    <col min="11" max="11" width="14.42578125" style="1" customWidth="1"/>
    <col min="12" max="12" width="17.28515625" style="1" customWidth="1"/>
    <col min="13" max="13" width="11.7109375" style="1" customWidth="1"/>
    <col min="14" max="14" width="16.7109375" style="1" customWidth="1"/>
    <col min="15" max="15" width="20.28515625" style="1" customWidth="1"/>
    <col min="16" max="16384" width="9.140625" style="1"/>
  </cols>
  <sheetData>
    <row r="1" spans="1:16" s="23" customFormat="1" x14ac:dyDescent="0.25"/>
    <row r="2" spans="1:16" s="23" customFormat="1" ht="18.75" x14ac:dyDescent="0.3">
      <c r="B2" s="42" t="s">
        <v>77</v>
      </c>
      <c r="C2" s="42"/>
      <c r="D2" s="42"/>
      <c r="E2" s="42"/>
      <c r="F2" s="42"/>
    </row>
    <row r="3" spans="1:16" s="23" customFormat="1" x14ac:dyDescent="0.25"/>
    <row r="4" spans="1:16" s="23" customFormat="1" x14ac:dyDescent="0.25">
      <c r="O4" s="43" t="s">
        <v>70</v>
      </c>
    </row>
    <row r="5" spans="1:16" s="23" customFormat="1" ht="15" customHeight="1" x14ac:dyDescent="0.25">
      <c r="A5" s="124"/>
      <c r="B5" s="145" t="s">
        <v>0</v>
      </c>
      <c r="C5" s="147" t="s">
        <v>1</v>
      </c>
      <c r="D5" s="148"/>
      <c r="E5" s="147" t="s">
        <v>20</v>
      </c>
      <c r="F5" s="148"/>
      <c r="G5" s="147" t="s">
        <v>2</v>
      </c>
      <c r="H5" s="149"/>
      <c r="I5" s="149"/>
      <c r="J5" s="148"/>
      <c r="K5" s="144" t="s">
        <v>56</v>
      </c>
      <c r="L5" s="144"/>
      <c r="M5" s="144"/>
      <c r="N5" s="144"/>
      <c r="O5" s="122" t="s">
        <v>61</v>
      </c>
    </row>
    <row r="6" spans="1:16" s="48" customFormat="1" ht="114.75" customHeight="1" x14ac:dyDescent="0.25">
      <c r="A6" s="125"/>
      <c r="B6" s="146"/>
      <c r="C6" s="44" t="s">
        <v>3</v>
      </c>
      <c r="D6" s="44" t="s">
        <v>4</v>
      </c>
      <c r="E6" s="45" t="s">
        <v>22</v>
      </c>
      <c r="F6" s="45" t="s">
        <v>21</v>
      </c>
      <c r="G6" s="46" t="s">
        <v>5</v>
      </c>
      <c r="H6" s="46" t="s">
        <v>6</v>
      </c>
      <c r="I6" s="46" t="s">
        <v>27</v>
      </c>
      <c r="J6" s="46" t="s">
        <v>23</v>
      </c>
      <c r="K6" s="47" t="s">
        <v>52</v>
      </c>
      <c r="L6" s="47" t="s">
        <v>53</v>
      </c>
      <c r="M6" s="47" t="s">
        <v>54</v>
      </c>
      <c r="N6" s="47" t="s">
        <v>55</v>
      </c>
      <c r="O6" s="122"/>
    </row>
    <row r="7" spans="1:16" s="48" customFormat="1" ht="27.75" customHeight="1" x14ac:dyDescent="0.25">
      <c r="A7" s="49"/>
      <c r="B7" s="40"/>
      <c r="C7" s="44"/>
      <c r="D7" s="44"/>
      <c r="E7" s="41"/>
      <c r="F7" s="50"/>
      <c r="G7" s="46"/>
      <c r="H7" s="46"/>
      <c r="I7" s="46"/>
      <c r="J7" s="46"/>
      <c r="K7" s="51"/>
      <c r="L7" s="51"/>
      <c r="M7" s="52"/>
      <c r="N7" s="52"/>
      <c r="O7" s="52"/>
    </row>
    <row r="8" spans="1:16" s="48" customFormat="1" x14ac:dyDescent="0.25">
      <c r="A8" s="41"/>
      <c r="B8" s="41">
        <v>1</v>
      </c>
      <c r="C8" s="41">
        <v>2</v>
      </c>
      <c r="D8" s="41">
        <v>3</v>
      </c>
      <c r="E8" s="41">
        <v>4</v>
      </c>
      <c r="F8" s="41">
        <v>5</v>
      </c>
      <c r="G8" s="41">
        <v>6</v>
      </c>
      <c r="H8" s="41">
        <v>7</v>
      </c>
      <c r="I8" s="41">
        <v>8</v>
      </c>
      <c r="J8" s="41">
        <v>9</v>
      </c>
      <c r="K8" s="52">
        <v>10</v>
      </c>
      <c r="L8" s="52">
        <v>11</v>
      </c>
      <c r="M8" s="52">
        <v>12</v>
      </c>
      <c r="N8" s="52">
        <v>13</v>
      </c>
      <c r="O8" s="41">
        <v>14</v>
      </c>
      <c r="P8" s="100"/>
    </row>
    <row r="9" spans="1:16" s="3" customFormat="1" ht="92.25" customHeight="1" x14ac:dyDescent="0.25">
      <c r="A9" s="2"/>
      <c r="B9" s="2"/>
      <c r="C9" s="2"/>
      <c r="D9" s="2"/>
      <c r="E9" s="2"/>
      <c r="F9" s="2"/>
      <c r="G9" s="41" t="s">
        <v>72</v>
      </c>
      <c r="H9" s="41" t="s">
        <v>24</v>
      </c>
      <c r="I9" s="41" t="s">
        <v>25</v>
      </c>
      <c r="J9" s="41" t="s">
        <v>26</v>
      </c>
      <c r="K9" s="34" t="s">
        <v>57</v>
      </c>
      <c r="L9" s="34" t="s">
        <v>58</v>
      </c>
      <c r="M9" s="34" t="s">
        <v>59</v>
      </c>
      <c r="N9" s="34" t="s">
        <v>60</v>
      </c>
      <c r="O9" s="74" t="s">
        <v>73</v>
      </c>
      <c r="P9" s="101"/>
    </row>
    <row r="10" spans="1:16" x14ac:dyDescent="0.25">
      <c r="A10" s="36" t="s">
        <v>8</v>
      </c>
      <c r="B10" s="36">
        <v>17185</v>
      </c>
      <c r="C10" s="36">
        <v>436</v>
      </c>
      <c r="D10" s="53">
        <v>13966</v>
      </c>
      <c r="E10" s="53">
        <v>2300</v>
      </c>
      <c r="F10" s="53">
        <v>40.700000000000003</v>
      </c>
      <c r="G10" s="96">
        <f>0.6+0.4*(B22/12)/B10</f>
        <v>0.66246726796624966</v>
      </c>
      <c r="H10" s="96">
        <f>SUM(C10/B10+1)</f>
        <v>1.0253709630491707</v>
      </c>
      <c r="I10" s="96">
        <f>SUM(D10/B10+1)</f>
        <v>1.8126854815245854</v>
      </c>
      <c r="J10" s="36">
        <f>0.9+0.1*(0.8*E10/E22+0.2*F10/F22)</f>
        <v>1</v>
      </c>
      <c r="K10" s="96">
        <f>SUM(B10*G10/B10)/(B22*G22/B22)</f>
        <v>0.66246726796624966</v>
      </c>
      <c r="L10" s="96">
        <f>SUM(B10*G10*J10/B10)/(B22*G22*J22/B22)</f>
        <v>0.66246726796624966</v>
      </c>
      <c r="M10" s="96">
        <f xml:space="preserve"> SUM(B10*G10*J10/B10)/(B22*G22*J22/B22)</f>
        <v>0.66246726796624966</v>
      </c>
      <c r="N10" s="96">
        <f>SUM(B10*H10*I10/B10)/(B22*H22*I22/B22)</f>
        <v>1.2023711378890158</v>
      </c>
      <c r="O10" s="103">
        <f>SUM(K10*0.232+L10*0.158+M10*0.07+N10*0.54)</f>
        <v>0.95401535772454338</v>
      </c>
      <c r="P10" s="5"/>
    </row>
    <row r="11" spans="1:16" x14ac:dyDescent="0.25">
      <c r="A11" s="36" t="s">
        <v>9</v>
      </c>
      <c r="B11" s="36">
        <v>1115</v>
      </c>
      <c r="C11" s="36">
        <v>0</v>
      </c>
      <c r="D11" s="4"/>
      <c r="E11" s="53">
        <v>2300</v>
      </c>
      <c r="F11" s="53">
        <v>40.700000000000003</v>
      </c>
      <c r="G11" s="96">
        <f>0.6+0.4*(B22/12)/B11</f>
        <v>1.5627802690582959</v>
      </c>
      <c r="H11" s="96">
        <f t="shared" ref="H11:H22" si="0">SUM(C11/B11+1)</f>
        <v>1</v>
      </c>
      <c r="I11" s="96">
        <v>1</v>
      </c>
      <c r="J11" s="36">
        <f>0.9+0.1*(0.8*E11/E22+0.2*F11/F22)</f>
        <v>1</v>
      </c>
      <c r="K11" s="96">
        <f>SUM(B11*G11/B11)/(B22*G22/B22)</f>
        <v>1.5627802690582959</v>
      </c>
      <c r="L11" s="96">
        <f>SUM(B11*G11*J11/B11)/(B22*G22*J22/B22)</f>
        <v>1.5627802690582959</v>
      </c>
      <c r="M11" s="96">
        <f xml:space="preserve"> SUM(B11*G11*J11/B11)/(B22*G22*J22/B22)</f>
        <v>1.5627802690582959</v>
      </c>
      <c r="N11" s="96">
        <f>SUM(B11*H11*I11/B11)/(B22*H22*I22/B22)</f>
        <v>0.64689690259792543</v>
      </c>
      <c r="O11" s="103">
        <f t="shared" ref="O11:O22" si="1">SUM(K11*0.232+L11*0.158+M11*0.07+N11*0.54)</f>
        <v>1.0682032511696959</v>
      </c>
      <c r="P11" s="5"/>
    </row>
    <row r="12" spans="1:16" x14ac:dyDescent="0.25">
      <c r="A12" s="36" t="s">
        <v>10</v>
      </c>
      <c r="B12" s="36">
        <v>1171</v>
      </c>
      <c r="C12" s="36">
        <v>352</v>
      </c>
      <c r="D12" s="4"/>
      <c r="E12" s="53">
        <v>2300</v>
      </c>
      <c r="F12" s="53">
        <v>40.700000000000003</v>
      </c>
      <c r="G12" s="96">
        <f>0.6+0.4*(B22/12)/B12</f>
        <v>1.5167378309137489</v>
      </c>
      <c r="H12" s="96">
        <f t="shared" si="0"/>
        <v>1.3005977796754911</v>
      </c>
      <c r="I12" s="96">
        <v>1</v>
      </c>
      <c r="J12" s="36">
        <f>0.9+0.1*(0.8*E12/E22+0.2*F12/F22)</f>
        <v>1</v>
      </c>
      <c r="K12" s="96">
        <f>SUM(B12*G12/B12)/(B22*G22/B22)</f>
        <v>1.5167378309137489</v>
      </c>
      <c r="L12" s="96">
        <f>SUM(B12*G12*J12/B12)/(B22*G22*J22/B22)</f>
        <v>1.5167378309137489</v>
      </c>
      <c r="M12" s="96">
        <f xml:space="preserve"> SUM(B12*G12*J12/B12)/(B22*G22*J22/B22)</f>
        <v>1.5167378309137489</v>
      </c>
      <c r="N12" s="96">
        <f>SUM(B12*H12*I12/B12)/(B22*H22*I22/B22)</f>
        <v>0.8413526751978142</v>
      </c>
      <c r="O12" s="103">
        <f t="shared" si="1"/>
        <v>1.1520298468271442</v>
      </c>
      <c r="P12" s="5"/>
    </row>
    <row r="13" spans="1:16" x14ac:dyDescent="0.25">
      <c r="A13" s="36" t="s">
        <v>11</v>
      </c>
      <c r="B13" s="36">
        <v>1168</v>
      </c>
      <c r="C13" s="36">
        <v>786</v>
      </c>
      <c r="D13" s="4"/>
      <c r="E13" s="53">
        <v>2300</v>
      </c>
      <c r="F13" s="53">
        <v>40.700000000000003</v>
      </c>
      <c r="G13" s="96">
        <f>0.6+0.4*(B22/12)/B13</f>
        <v>1.5190924657534246</v>
      </c>
      <c r="H13" s="96">
        <f t="shared" si="0"/>
        <v>1.672945205479452</v>
      </c>
      <c r="I13" s="96">
        <v>1</v>
      </c>
      <c r="J13" s="36">
        <f>0.9+0.1*(0.8*E13/E22+0.2*F13/F22)</f>
        <v>1</v>
      </c>
      <c r="K13" s="96">
        <f>SUM(B13*G13/B13)/(B22*G22/B22)</f>
        <v>1.5190924657534246</v>
      </c>
      <c r="L13" s="96">
        <f>SUM(B13*G13*J13/B13)/(B22*G22*J22/B22)</f>
        <v>1.5190924657534246</v>
      </c>
      <c r="M13" s="96">
        <f xml:space="preserve"> SUM(B13*G13*J13/B13)/(B22*G22*J22/B22)</f>
        <v>1.5190924657534246</v>
      </c>
      <c r="N13" s="96">
        <f>SUM(B13*H13*I13/B13)/(B22*H22*I22/B22)</f>
        <v>1.0822230716407073</v>
      </c>
      <c r="O13" s="103">
        <f t="shared" si="1"/>
        <v>1.2831829929325573</v>
      </c>
      <c r="P13" s="5"/>
    </row>
    <row r="14" spans="1:16" x14ac:dyDescent="0.25">
      <c r="A14" s="36" t="s">
        <v>12</v>
      </c>
      <c r="B14" s="36">
        <v>1450</v>
      </c>
      <c r="C14" s="36">
        <v>42</v>
      </c>
      <c r="D14" s="4"/>
      <c r="E14" s="53">
        <v>2300</v>
      </c>
      <c r="F14" s="53">
        <v>40.700000000000003</v>
      </c>
      <c r="G14" s="96">
        <f>0.6+0.4*(B22/12)/B14</f>
        <v>1.3403448275862069</v>
      </c>
      <c r="H14" s="96">
        <f t="shared" si="0"/>
        <v>1.0289655172413794</v>
      </c>
      <c r="I14" s="96">
        <v>1</v>
      </c>
      <c r="J14" s="36">
        <f>0.9+0.1*(0.8*E14/E22+0.2*F14/F22)</f>
        <v>1</v>
      </c>
      <c r="K14" s="96">
        <f>SUM(B14*G14/B14)/(B22*G22/B22)</f>
        <v>1.3403448275862069</v>
      </c>
      <c r="L14" s="96">
        <f>SUM(B14*G14*J14/B14)/(B22*G22*J22/B22)</f>
        <v>1.3403448275862069</v>
      </c>
      <c r="M14" s="96">
        <f xml:space="preserve"> SUM(B14*G14*J14/B14)/(B22*G22*J22/B22)</f>
        <v>1.3403448275862069</v>
      </c>
      <c r="N14" s="96">
        <f>SUM(B14*H14*I14/B14)/(B22*H22*I22/B22)</f>
        <v>0.66563460598352053</v>
      </c>
      <c r="O14" s="103">
        <f t="shared" si="1"/>
        <v>0.97600130792075634</v>
      </c>
      <c r="P14" s="5"/>
    </row>
    <row r="15" spans="1:16" x14ac:dyDescent="0.25">
      <c r="A15" s="36" t="s">
        <v>13</v>
      </c>
      <c r="B15" s="36">
        <v>909</v>
      </c>
      <c r="C15" s="36">
        <v>37</v>
      </c>
      <c r="D15" s="4"/>
      <c r="E15" s="53">
        <v>2300</v>
      </c>
      <c r="F15" s="53">
        <v>40.700000000000003</v>
      </c>
      <c r="G15" s="96">
        <f>0.6+0.4*(B22/12)/B15</f>
        <v>1.7809680968096808</v>
      </c>
      <c r="H15" s="96">
        <f t="shared" si="0"/>
        <v>1.0407040704070407</v>
      </c>
      <c r="I15" s="96">
        <v>1</v>
      </c>
      <c r="J15" s="36">
        <f>0.9+0.1*(0.8*E15/E22+0.2*F15/F22)</f>
        <v>1</v>
      </c>
      <c r="K15" s="96">
        <f>SUM(B15*G15/B15)/(B22*G22/B22)</f>
        <v>1.7809680968096808</v>
      </c>
      <c r="L15" s="96">
        <f>SUM(B15*G15*J15/B15)/(B22*G22*J22/B22)</f>
        <v>1.7809680968096808</v>
      </c>
      <c r="M15" s="96">
        <f xml:space="preserve"> SUM(B15*G15*J15/B15)/(B22*G22*J22/B22)</f>
        <v>1.7809680968096808</v>
      </c>
      <c r="N15" s="96">
        <f>SUM(B15*H15*I15/B15)/(B22*H22*I22/B22)</f>
        <v>0.67322823966736789</v>
      </c>
      <c r="O15" s="103">
        <f t="shared" si="1"/>
        <v>1.1827885739528319</v>
      </c>
      <c r="P15" s="5"/>
    </row>
    <row r="16" spans="1:16" x14ac:dyDescent="0.25">
      <c r="A16" s="36" t="s">
        <v>14</v>
      </c>
      <c r="B16" s="36">
        <v>1088</v>
      </c>
      <c r="C16" s="36">
        <v>206</v>
      </c>
      <c r="D16" s="4"/>
      <c r="E16" s="53">
        <v>2300</v>
      </c>
      <c r="F16" s="53">
        <v>40.700000000000003</v>
      </c>
      <c r="G16" s="96">
        <f>0.6+0.4*(B22/12)/B16</f>
        <v>1.5866727941176471</v>
      </c>
      <c r="H16" s="96">
        <f t="shared" si="0"/>
        <v>1.1893382352941178</v>
      </c>
      <c r="I16" s="96">
        <v>1</v>
      </c>
      <c r="J16" s="36">
        <f>0.9+0.1*(0.8*E16/E22+0.2*F16/F22)</f>
        <v>1</v>
      </c>
      <c r="K16" s="96">
        <f>SUM(B16*G16/B16)/(B22*G22/B22)</f>
        <v>1.5866727941176471</v>
      </c>
      <c r="L16" s="96">
        <f>SUM(B16*G16*J16/B16)/(B22*G22*J22/B22)</f>
        <v>1.5866727941176471</v>
      </c>
      <c r="M16" s="96">
        <f xml:space="preserve"> SUM(B16*G16*J16/B16)/(B22*G22*J22/B22)</f>
        <v>1.5866727941176471</v>
      </c>
      <c r="N16" s="96">
        <f>SUM(B16*H16*I16/B16)/(B22*H22*I22/B22)</f>
        <v>0.76937922055304742</v>
      </c>
      <c r="O16" s="103">
        <f t="shared" si="1"/>
        <v>1.1453342643927633</v>
      </c>
      <c r="P16" s="5"/>
    </row>
    <row r="17" spans="1:16" x14ac:dyDescent="0.25">
      <c r="A17" s="36" t="s">
        <v>15</v>
      </c>
      <c r="B17" s="36">
        <v>1403</v>
      </c>
      <c r="C17" s="36">
        <v>135</v>
      </c>
      <c r="D17" s="4"/>
      <c r="E17" s="53">
        <v>2300</v>
      </c>
      <c r="F17" s="53">
        <v>40.700000000000003</v>
      </c>
      <c r="G17" s="96">
        <f>0.6+0.4*(B22/12)/B17</f>
        <v>1.3651461154668567</v>
      </c>
      <c r="H17" s="96">
        <f t="shared" si="0"/>
        <v>1.0962223806129723</v>
      </c>
      <c r="I17" s="96">
        <v>1</v>
      </c>
      <c r="J17" s="36">
        <f>0.9+0.1*(0.8*E17/E22+0.2*F17/F22)</f>
        <v>1</v>
      </c>
      <c r="K17" s="96">
        <f>SUM(B17*G17/B17)/(B22*G22/B22)</f>
        <v>1.3651461154668567</v>
      </c>
      <c r="L17" s="96">
        <f>SUM(B17*G17*J17/B17)/(B22*G22*J22/B22)</f>
        <v>1.3651461154668567</v>
      </c>
      <c r="M17" s="96">
        <f xml:space="preserve"> SUM(B17*G17*J17/B17)/(B22*G22*J22/B22)</f>
        <v>1.3651461154668567</v>
      </c>
      <c r="N17" s="96">
        <f>SUM(B17*H17*I17/B17)/(B22*H22*I22/B22)</f>
        <v>0.70914286257705583</v>
      </c>
      <c r="O17" s="103">
        <f t="shared" si="1"/>
        <v>1.0109043589063642</v>
      </c>
      <c r="P17" s="5"/>
    </row>
    <row r="18" spans="1:16" x14ac:dyDescent="0.25">
      <c r="A18" s="36" t="s">
        <v>16</v>
      </c>
      <c r="B18" s="36">
        <v>1905</v>
      </c>
      <c r="C18" s="36">
        <v>509</v>
      </c>
      <c r="D18" s="4"/>
      <c r="E18" s="53">
        <v>2300</v>
      </c>
      <c r="F18" s="53">
        <v>40.700000000000003</v>
      </c>
      <c r="G18" s="96">
        <f>0.6+0.4*(B22/12)/B18</f>
        <v>1.1635170603674541</v>
      </c>
      <c r="H18" s="96">
        <f t="shared" si="0"/>
        <v>1.2671916010498687</v>
      </c>
      <c r="I18" s="96">
        <v>1</v>
      </c>
      <c r="J18" s="36">
        <f>0.9+0.1*(0.8*E18/E22+0.2*F18/F22)</f>
        <v>1</v>
      </c>
      <c r="K18" s="96">
        <f>SUM(B18*G18/B18)/(B22*G22/B22)</f>
        <v>1.1635170603674541</v>
      </c>
      <c r="L18" s="96">
        <f>SUM(B18*G18*J18/B18)/(B22*G22*J22/B22)</f>
        <v>1.1635170603674541</v>
      </c>
      <c r="M18" s="96">
        <f xml:space="preserve"> SUM(B18*G18*J18/B18)/(B22*G22*J22/B22)</f>
        <v>1.1635170603674541</v>
      </c>
      <c r="N18" s="96">
        <f>SUM(B18*H18*I18/B18)/(B22*H22*I22/B22)</f>
        <v>0.81974232171726602</v>
      </c>
      <c r="O18" s="103">
        <f t="shared" si="1"/>
        <v>0.97787870149635248</v>
      </c>
      <c r="P18" s="5"/>
    </row>
    <row r="19" spans="1:16" x14ac:dyDescent="0.25">
      <c r="A19" s="36" t="s">
        <v>17</v>
      </c>
      <c r="B19" s="36">
        <v>1921</v>
      </c>
      <c r="C19" s="36">
        <v>0</v>
      </c>
      <c r="D19" s="4"/>
      <c r="E19" s="53">
        <v>2300</v>
      </c>
      <c r="F19" s="53">
        <v>40.700000000000003</v>
      </c>
      <c r="G19" s="96">
        <f>0.6+0.4*(B22/12)/B19</f>
        <v>1.1588235294117646</v>
      </c>
      <c r="H19" s="96">
        <f t="shared" si="0"/>
        <v>1</v>
      </c>
      <c r="I19" s="96">
        <v>1</v>
      </c>
      <c r="J19" s="36">
        <f>0.9+0.1*(0.8*E19/E22+0.2*F19/F22)</f>
        <v>1</v>
      </c>
      <c r="K19" s="96">
        <f>SUM(B19*G19/B19)/(B22*G22/B22)</f>
        <v>1.1588235294117646</v>
      </c>
      <c r="L19" s="96">
        <f>SUM(B19*G19*J19/B19)/(B22*G22*J22/B22)</f>
        <v>1.1588235294117646</v>
      </c>
      <c r="M19" s="96">
        <f xml:space="preserve"> SUM(B19*G19*J19/B19)/(B22*G22*J22/B22)</f>
        <v>1.1588235294117646</v>
      </c>
      <c r="N19" s="96">
        <f>SUM(B19*H19*I19/B19)/(B22*H22*I22/B22)</f>
        <v>0.64689690259792543</v>
      </c>
      <c r="O19" s="103">
        <f t="shared" si="1"/>
        <v>0.88238315093229147</v>
      </c>
      <c r="P19" s="5"/>
    </row>
    <row r="20" spans="1:16" x14ac:dyDescent="0.25">
      <c r="A20" s="36" t="s">
        <v>18</v>
      </c>
      <c r="B20" s="36">
        <v>1496</v>
      </c>
      <c r="C20" s="36">
        <v>2</v>
      </c>
      <c r="D20" s="4"/>
      <c r="E20" s="53">
        <v>2300</v>
      </c>
      <c r="F20" s="53">
        <v>40.700000000000003</v>
      </c>
      <c r="G20" s="96">
        <f>0.6+0.4*(B22/12)/B20</f>
        <v>1.3175802139037431</v>
      </c>
      <c r="H20" s="96">
        <f t="shared" si="0"/>
        <v>1.0013368983957218</v>
      </c>
      <c r="I20" s="96">
        <v>1</v>
      </c>
      <c r="J20" s="36">
        <f>0.9+0.1*(0.8*E20/E22+0.2*F20/F22)</f>
        <v>1</v>
      </c>
      <c r="K20" s="96">
        <f>SUM(B20*G20/B20)/(B22*G22/B22)</f>
        <v>1.3175802139037431</v>
      </c>
      <c r="L20" s="96">
        <f>SUM(B20*G20*J20/B20)/(B22*G22*J22/B22)</f>
        <v>1.3175802139037431</v>
      </c>
      <c r="M20" s="96">
        <f xml:space="preserve"> SUM(B20*G20*J20/B20)/(B22*G22*J22/B22)</f>
        <v>1.3175802139037431</v>
      </c>
      <c r="N20" s="96">
        <f>SUM(B20*H20*I20/B20)/(B22*H22*I22/B22)</f>
        <v>0.647761738029206</v>
      </c>
      <c r="O20" s="103">
        <f t="shared" si="1"/>
        <v>0.9558782369314931</v>
      </c>
      <c r="P20" s="5"/>
    </row>
    <row r="21" spans="1:16" x14ac:dyDescent="0.25">
      <c r="A21" s="36" t="s">
        <v>19</v>
      </c>
      <c r="B21" s="36">
        <v>1394</v>
      </c>
      <c r="C21" s="36">
        <v>15</v>
      </c>
      <c r="D21" s="4"/>
      <c r="E21" s="53">
        <v>2300</v>
      </c>
      <c r="F21" s="53">
        <v>40.700000000000003</v>
      </c>
      <c r="G21" s="96">
        <f>0.6+0.4*(B22/12)/B21</f>
        <v>1.3700860832137733</v>
      </c>
      <c r="H21" s="96">
        <f t="shared" si="0"/>
        <v>1.0107604017216643</v>
      </c>
      <c r="I21" s="96">
        <v>1</v>
      </c>
      <c r="J21" s="36">
        <f>0.9+0.1*(0.8*E21/E22+0.2*F21/F22)</f>
        <v>1</v>
      </c>
      <c r="K21" s="96">
        <f>SUM(B21*G21/B21)/(B22*G22/B22)</f>
        <v>1.3700860832137733</v>
      </c>
      <c r="L21" s="96">
        <f>SUM(B21*G21*J21/B21)/(B22*G22*J22/B22)</f>
        <v>1.3700860832137733</v>
      </c>
      <c r="M21" s="96">
        <f xml:space="preserve"> SUM(B21*G21*J21/B21)/(B22*G22*J22/B22)</f>
        <v>1.3700860832137733</v>
      </c>
      <c r="N21" s="96">
        <f>SUM(B21*H21*I21/B21)/(B22*H22*I22/B22)</f>
        <v>0.65385777314237936</v>
      </c>
      <c r="O21" s="103">
        <f t="shared" si="1"/>
        <v>0.98332279577522064</v>
      </c>
      <c r="P21" s="5"/>
    </row>
    <row r="22" spans="1:16" s="6" customFormat="1" ht="16.5" customHeight="1" x14ac:dyDescent="0.25">
      <c r="A22" s="36" t="s">
        <v>7</v>
      </c>
      <c r="B22" s="91">
        <f t="shared" ref="B22:D22" si="2">SUM(B10:B21)</f>
        <v>32205</v>
      </c>
      <c r="C22" s="91">
        <f t="shared" si="2"/>
        <v>2520</v>
      </c>
      <c r="D22" s="95">
        <f t="shared" si="2"/>
        <v>13966</v>
      </c>
      <c r="E22" s="53">
        <v>2300</v>
      </c>
      <c r="F22" s="53">
        <v>40.700000000000003</v>
      </c>
      <c r="G22" s="96">
        <v>1</v>
      </c>
      <c r="H22" s="96">
        <f t="shared" si="0"/>
        <v>1.0782487191429901</v>
      </c>
      <c r="I22" s="97">
        <f>SUM(D22/B22+1)</f>
        <v>1.4336593696630957</v>
      </c>
      <c r="J22" s="36">
        <f>0.9+0.1*(0.8*E22/E22+0.2*F22/F22)</f>
        <v>1</v>
      </c>
      <c r="K22" s="96">
        <f>SUM(B22*G22/B22)/(B22*G22/B22)</f>
        <v>1</v>
      </c>
      <c r="L22" s="96">
        <f>SUM(B22*G22*J22/B22)/(B22*G22*J22/B22)</f>
        <v>1</v>
      </c>
      <c r="M22" s="96">
        <f xml:space="preserve"> SUM(B22*G22*J22/B22)/(B22*G22*J22/B22)</f>
        <v>1</v>
      </c>
      <c r="N22" s="96">
        <f>SUM(B22*H22*I22/B22)/(B22*H22*I22/B22)</f>
        <v>1</v>
      </c>
      <c r="O22" s="103">
        <f t="shared" si="1"/>
        <v>1</v>
      </c>
      <c r="P22" s="102"/>
    </row>
    <row r="23" spans="1:16" x14ac:dyDescent="0.25">
      <c r="A23" s="36"/>
      <c r="B23" s="36"/>
      <c r="C23" s="4"/>
      <c r="D23" s="4"/>
      <c r="E23" s="4"/>
      <c r="F23" s="4"/>
      <c r="G23" s="98"/>
      <c r="H23" s="4"/>
      <c r="I23" s="99"/>
      <c r="J23" s="4"/>
      <c r="K23" s="4"/>
      <c r="L23" s="4"/>
      <c r="M23" s="4"/>
      <c r="N23" s="4"/>
      <c r="O23" s="53"/>
      <c r="P23" s="5"/>
    </row>
    <row r="24" spans="1:16" x14ac:dyDescent="0.25">
      <c r="A24" s="36"/>
      <c r="B24" s="36"/>
      <c r="C24" s="53"/>
      <c r="D24" s="4"/>
      <c r="E24" s="4"/>
      <c r="F24" s="4"/>
      <c r="G24" s="4"/>
      <c r="H24" s="4"/>
      <c r="I24" s="99"/>
      <c r="J24" s="4"/>
      <c r="K24" s="4"/>
      <c r="L24" s="4"/>
      <c r="M24" s="4"/>
      <c r="N24" s="4"/>
      <c r="O24" s="4"/>
      <c r="P24" s="5"/>
    </row>
    <row r="25" spans="1:16" x14ac:dyDescent="0.25">
      <c r="A25" s="5"/>
      <c r="B25" s="5"/>
      <c r="C25" s="5"/>
      <c r="D25" s="5"/>
      <c r="E25" s="5"/>
      <c r="F25" s="5"/>
      <c r="G25" s="5"/>
      <c r="H25" s="5"/>
      <c r="I25" s="76"/>
      <c r="J25" s="5"/>
      <c r="K25" s="5"/>
      <c r="L25" s="5"/>
      <c r="M25" s="5"/>
      <c r="N25" s="5"/>
      <c r="O25" s="5"/>
      <c r="P25" s="5"/>
    </row>
    <row r="26" spans="1:16" s="66" customFormat="1" x14ac:dyDescent="0.25">
      <c r="B26" s="5"/>
      <c r="C26" s="5"/>
      <c r="D26" s="5"/>
      <c r="E26" s="5"/>
      <c r="F26" s="5"/>
      <c r="I26" s="5"/>
      <c r="J26" s="5"/>
      <c r="K26" s="5"/>
      <c r="L26" s="5"/>
      <c r="M26" s="5"/>
      <c r="N26" s="5"/>
      <c r="O26" s="5"/>
      <c r="P26" s="5"/>
    </row>
    <row r="27" spans="1:16" s="66" customFormat="1" x14ac:dyDescent="0.25">
      <c r="A27" s="68"/>
      <c r="B27" s="61"/>
      <c r="C27" s="61"/>
      <c r="D27" s="61"/>
      <c r="E27" s="61"/>
      <c r="F27" s="61"/>
      <c r="G27" s="68"/>
      <c r="H27" s="68"/>
      <c r="I27" s="61"/>
      <c r="J27" s="61"/>
      <c r="K27" s="61"/>
      <c r="L27" s="5"/>
      <c r="M27" s="5"/>
      <c r="N27" s="5"/>
      <c r="O27" s="5"/>
      <c r="P27" s="5"/>
    </row>
    <row r="28" spans="1:16" s="66" customFormat="1" x14ac:dyDescent="0.25">
      <c r="A28" s="68" t="s">
        <v>62</v>
      </c>
      <c r="B28" s="68"/>
      <c r="C28" s="68"/>
      <c r="D28" s="68"/>
      <c r="E28" s="68"/>
      <c r="F28" s="68"/>
      <c r="G28" s="68"/>
      <c r="H28" s="68"/>
      <c r="I28" s="61"/>
      <c r="J28" s="61"/>
      <c r="K28" s="61"/>
      <c r="L28" s="5"/>
      <c r="M28" s="5"/>
      <c r="N28" s="5"/>
      <c r="O28" s="5"/>
      <c r="P28" s="5"/>
    </row>
    <row r="29" spans="1:16" s="66" customFormat="1" x14ac:dyDescent="0.25">
      <c r="A29" s="68"/>
      <c r="B29" s="68"/>
      <c r="C29" s="61"/>
      <c r="D29" s="68"/>
      <c r="E29" s="68"/>
      <c r="F29" s="68"/>
      <c r="G29" s="68"/>
      <c r="H29" s="68"/>
      <c r="I29" s="68"/>
      <c r="J29" s="68"/>
      <c r="K29" s="68"/>
    </row>
    <row r="30" spans="1:16" x14ac:dyDescent="0.25">
      <c r="A30" s="143" t="s">
        <v>63</v>
      </c>
      <c r="B30" s="143"/>
      <c r="C30" s="53">
        <v>0.23200000000000001</v>
      </c>
      <c r="D30" s="68"/>
      <c r="E30" s="68"/>
      <c r="F30" s="68"/>
      <c r="G30" s="68"/>
      <c r="H30" s="68"/>
      <c r="I30" s="68"/>
      <c r="J30" s="68"/>
      <c r="K30" s="68"/>
      <c r="L30" s="66"/>
      <c r="M30" s="66"/>
      <c r="N30" s="66"/>
      <c r="O30" s="66"/>
    </row>
    <row r="31" spans="1:16" x14ac:dyDescent="0.25">
      <c r="A31" s="143" t="s">
        <v>64</v>
      </c>
      <c r="B31" s="143"/>
      <c r="C31" s="53">
        <v>0.158</v>
      </c>
      <c r="D31" s="68"/>
      <c r="E31" s="68"/>
      <c r="F31" s="68"/>
      <c r="G31" s="68"/>
      <c r="H31" s="68"/>
      <c r="I31" s="68"/>
      <c r="J31" s="68"/>
      <c r="K31" s="68"/>
      <c r="L31" s="66"/>
      <c r="M31" s="66"/>
      <c r="N31" s="66"/>
      <c r="O31" s="66"/>
    </row>
    <row r="32" spans="1:16" x14ac:dyDescent="0.25">
      <c r="A32" s="143" t="s">
        <v>65</v>
      </c>
      <c r="B32" s="143"/>
      <c r="C32" s="103">
        <v>7.0000000000000007E-2</v>
      </c>
      <c r="D32" s="68"/>
      <c r="E32" s="68"/>
      <c r="F32" s="68"/>
      <c r="G32" s="68"/>
      <c r="H32" s="68"/>
      <c r="I32" s="68"/>
      <c r="J32" s="68"/>
      <c r="K32" s="68"/>
      <c r="L32" s="66"/>
      <c r="M32" s="66"/>
      <c r="N32" s="66"/>
      <c r="O32" s="66"/>
    </row>
    <row r="33" spans="1:15" x14ac:dyDescent="0.25">
      <c r="A33" s="143" t="s">
        <v>66</v>
      </c>
      <c r="B33" s="143"/>
      <c r="C33" s="103">
        <v>0.54</v>
      </c>
      <c r="D33" s="68"/>
      <c r="E33" s="68"/>
      <c r="F33" s="68"/>
      <c r="G33" s="68"/>
      <c r="H33" s="68"/>
      <c r="I33" s="68"/>
      <c r="J33" s="68"/>
      <c r="K33" s="68"/>
      <c r="L33" s="66"/>
      <c r="M33" s="66"/>
      <c r="N33" s="66"/>
      <c r="O33" s="66"/>
    </row>
    <row r="34" spans="1:15" x14ac:dyDescent="0.25">
      <c r="A34" s="66"/>
      <c r="B34" s="66"/>
      <c r="C34" s="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1:15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</row>
    <row r="36" spans="1:15" x14ac:dyDescent="0.2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7" spans="1:15" x14ac:dyDescent="0.2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</row>
    <row r="38" spans="1:15" x14ac:dyDescent="0.2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</row>
    <row r="39" spans="1:15" x14ac:dyDescent="0.2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</row>
    <row r="40" spans="1:15" x14ac:dyDescent="0.2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</row>
    <row r="41" spans="1:15" x14ac:dyDescent="0.2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</row>
    <row r="42" spans="1:15" x14ac:dyDescent="0.25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</row>
    <row r="43" spans="1:15" x14ac:dyDescent="0.25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</row>
    <row r="44" spans="1:15" x14ac:dyDescent="0.25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</row>
    <row r="45" spans="1:15" x14ac:dyDescent="0.2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</row>
    <row r="46" spans="1:15" x14ac:dyDescent="0.2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</row>
    <row r="47" spans="1:15" x14ac:dyDescent="0.2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</row>
    <row r="48" spans="1:15" x14ac:dyDescent="0.2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</row>
    <row r="49" spans="1:15" x14ac:dyDescent="0.2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</row>
    <row r="50" spans="1:15" x14ac:dyDescent="0.25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x14ac:dyDescent="0.25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  <row r="52" spans="1:15" x14ac:dyDescent="0.25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</row>
    <row r="53" spans="1:15" x14ac:dyDescent="0.25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4" spans="1:15" x14ac:dyDescent="0.25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</row>
    <row r="55" spans="1:15" x14ac:dyDescent="0.2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</row>
    <row r="56" spans="1:15" x14ac:dyDescent="0.2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</row>
    <row r="57" spans="1:15" x14ac:dyDescent="0.2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</row>
    <row r="58" spans="1:15" x14ac:dyDescent="0.2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</row>
    <row r="59" spans="1:15" x14ac:dyDescent="0.25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</row>
    <row r="60" spans="1:15" x14ac:dyDescent="0.25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</row>
    <row r="61" spans="1:15" x14ac:dyDescent="0.25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</row>
    <row r="62" spans="1:15" x14ac:dyDescent="0.2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</row>
    <row r="63" spans="1:15" x14ac:dyDescent="0.2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</row>
    <row r="64" spans="1:15" x14ac:dyDescent="0.2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</row>
    <row r="65" spans="1:15" x14ac:dyDescent="0.2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</row>
    <row r="66" spans="1:15" x14ac:dyDescent="0.25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</row>
    <row r="67" spans="1:15" x14ac:dyDescent="0.25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</row>
    <row r="68" spans="1:15" x14ac:dyDescent="0.25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</row>
    <row r="69" spans="1:15" x14ac:dyDescent="0.25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</row>
    <row r="70" spans="1:15" x14ac:dyDescent="0.25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</row>
    <row r="71" spans="1:15" x14ac:dyDescent="0.25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</row>
    <row r="72" spans="1:15" x14ac:dyDescent="0.25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</row>
    <row r="73" spans="1:15" x14ac:dyDescent="0.25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</row>
    <row r="74" spans="1:15" x14ac:dyDescent="0.25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</row>
    <row r="75" spans="1:15" x14ac:dyDescent="0.25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</row>
    <row r="76" spans="1:15" x14ac:dyDescent="0.25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</row>
    <row r="77" spans="1:15" x14ac:dyDescent="0.25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</row>
  </sheetData>
  <mergeCells count="11">
    <mergeCell ref="O5:O6"/>
    <mergeCell ref="A5:A6"/>
    <mergeCell ref="B5:B6"/>
    <mergeCell ref="E5:F5"/>
    <mergeCell ref="G5:J5"/>
    <mergeCell ref="C5:D5"/>
    <mergeCell ref="A30:B30"/>
    <mergeCell ref="A31:B31"/>
    <mergeCell ref="A32:B32"/>
    <mergeCell ref="A33:B33"/>
    <mergeCell ref="K5:N5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БО</vt:lpstr>
      <vt:lpstr>ИДП</vt:lpstr>
      <vt:lpstr>ИБР</vt:lpstr>
      <vt:lpstr>БО!Область_печати</vt:lpstr>
      <vt:lpstr>ИБР!Область_печати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2021-10-13T13:00:23Z</dcterms:modified>
</cp:coreProperties>
</file>