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CD3A43C-76B4-4250-B6EB-A452409DD7E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6" l="1"/>
  <c r="G18" i="6"/>
  <c r="G16" i="6"/>
  <c r="G12" i="6"/>
  <c r="G11" i="6"/>
  <c r="G23" i="3" l="1"/>
  <c r="G22" i="3"/>
  <c r="G21" i="3"/>
  <c r="G20" i="3"/>
  <c r="G19" i="3"/>
  <c r="G18" i="3"/>
  <c r="G17" i="3"/>
  <c r="G16" i="3"/>
  <c r="G15" i="3"/>
  <c r="G14" i="3"/>
  <c r="G13" i="3"/>
  <c r="G12" i="3"/>
  <c r="G11" i="3"/>
  <c r="N18" i="3" l="1"/>
  <c r="J10" i="1" l="1"/>
  <c r="I10" i="1"/>
  <c r="H10" i="1"/>
  <c r="I22" i="6" l="1"/>
  <c r="H22" i="6"/>
  <c r="F22" i="6"/>
  <c r="B22" i="6"/>
  <c r="F21" i="6"/>
  <c r="F20" i="6"/>
  <c r="F19" i="6"/>
  <c r="F18" i="6"/>
  <c r="F17" i="6"/>
  <c r="F16" i="6"/>
  <c r="F15" i="6"/>
  <c r="F14" i="6"/>
  <c r="F13" i="6"/>
  <c r="F12" i="6"/>
  <c r="F11" i="6"/>
  <c r="F10" i="6"/>
  <c r="G22" i="6" l="1"/>
  <c r="C23" i="3"/>
  <c r="X23" i="3"/>
  <c r="W23" i="3"/>
  <c r="D23" i="3" l="1"/>
  <c r="F11" i="3" s="1"/>
  <c r="F21" i="3" l="1"/>
  <c r="F17" i="3"/>
  <c r="F13" i="3"/>
  <c r="F12" i="3"/>
  <c r="F14" i="3"/>
  <c r="F16" i="3"/>
  <c r="F18" i="3"/>
  <c r="F20" i="3"/>
  <c r="F22" i="3"/>
  <c r="F15" i="3"/>
  <c r="F19" i="3"/>
  <c r="S23" i="3"/>
  <c r="R23" i="3"/>
  <c r="M23" i="3"/>
  <c r="L23" i="3"/>
  <c r="K23" i="3"/>
  <c r="H23" i="3"/>
  <c r="T22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J11" i="3" l="1"/>
  <c r="J21" i="3"/>
  <c r="J17" i="3"/>
  <c r="J13" i="3"/>
  <c r="J20" i="3"/>
  <c r="J16" i="3"/>
  <c r="J12" i="3"/>
  <c r="J19" i="3"/>
  <c r="J15" i="3"/>
  <c r="J22" i="3"/>
  <c r="J18" i="3"/>
  <c r="J14" i="3"/>
  <c r="T23" i="3"/>
  <c r="N23" i="3"/>
  <c r="P12" i="3" s="1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P11" i="3"/>
  <c r="U11" i="3" s="1"/>
  <c r="Y11" i="3" s="1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B22" i="1"/>
  <c r="C22" i="1"/>
  <c r="D22" i="1"/>
  <c r="H21" i="1"/>
  <c r="H20" i="1"/>
  <c r="H19" i="1"/>
  <c r="H18" i="1"/>
  <c r="H17" i="1"/>
  <c r="H16" i="1"/>
  <c r="H15" i="1"/>
  <c r="H14" i="1"/>
  <c r="H13" i="1"/>
  <c r="H12" i="1"/>
  <c r="H11" i="1"/>
  <c r="G14" i="1" l="1"/>
  <c r="G10" i="1"/>
  <c r="I22" i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N10" i="1" l="1"/>
  <c r="M10" i="1"/>
  <c r="L10" i="1"/>
  <c r="K10" i="1"/>
  <c r="N22" i="1"/>
  <c r="O22" i="1" s="1"/>
  <c r="L21" i="1"/>
  <c r="N18" i="1"/>
  <c r="K17" i="1"/>
  <c r="M17" i="1"/>
  <c r="L17" i="1"/>
  <c r="L14" i="1"/>
  <c r="M14" i="1"/>
  <c r="L13" i="1"/>
  <c r="N17" i="1"/>
  <c r="K21" i="1"/>
  <c r="M13" i="1"/>
  <c r="K18" i="1"/>
  <c r="M18" i="1"/>
  <c r="L18" i="1"/>
  <c r="K14" i="1"/>
  <c r="M15" i="1"/>
  <c r="L15" i="1"/>
  <c r="K15" i="1"/>
  <c r="K16" i="1"/>
  <c r="M16" i="1"/>
  <c r="L16" i="1"/>
  <c r="K12" i="1"/>
  <c r="M12" i="1"/>
  <c r="L12" i="1"/>
  <c r="M19" i="1"/>
  <c r="L19" i="1"/>
  <c r="K19" i="1"/>
  <c r="M11" i="1"/>
  <c r="L11" i="1"/>
  <c r="K11" i="1"/>
  <c r="M20" i="1"/>
  <c r="L20" i="1"/>
  <c r="N19" i="1"/>
  <c r="N15" i="1"/>
  <c r="N12" i="1"/>
  <c r="N21" i="1"/>
  <c r="N14" i="1"/>
  <c r="N13" i="1"/>
  <c r="N20" i="1"/>
  <c r="N16" i="1"/>
  <c r="N11" i="1"/>
  <c r="Y19" i="3"/>
  <c r="Y17" i="3"/>
  <c r="Y22" i="3"/>
  <c r="Y16" i="3"/>
  <c r="Y18" i="3"/>
  <c r="Y21" i="3"/>
  <c r="Y14" i="3"/>
  <c r="Y15" i="3"/>
  <c r="Y20" i="3"/>
  <c r="Y13" i="3"/>
  <c r="Y12" i="3"/>
  <c r="O21" i="1" l="1"/>
  <c r="O16" i="1"/>
  <c r="O10" i="1"/>
  <c r="O20" i="1"/>
  <c r="O13" i="1"/>
  <c r="O15" i="1"/>
  <c r="O18" i="1"/>
  <c r="O12" i="1"/>
  <c r="O11" i="1"/>
  <c r="O14" i="1"/>
  <c r="O19" i="1"/>
  <c r="O17" i="1"/>
  <c r="Y23" i="3"/>
  <c r="Z23" i="3" s="1"/>
  <c r="Z11" i="3" l="1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<sst xmlns="http://schemas.openxmlformats.org/spreadsheetml/2006/main" count="120" uniqueCount="87">
  <si>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</si>
  <si>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</si>
  <si>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</si>
  <si>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</si>
  <si>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</si>
  <si>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</si>
  <si>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</si>
  <si>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</si>
  <si>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</si>
  <si>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</si>
  <si>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</si>
  <si>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</si>
  <si>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</si>
  <si>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</si>
  <si>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</si>
  <si>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</si>
  <si>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</si>
  <si>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</si>
  <si>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</si>
  <si>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</si>
  <si>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</si>
  <si>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</si>
  <si>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</si>
  <si>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</si>
  <si>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</si>
  <si>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</si>
  <si>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</si>
  <si>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</si>
  <si>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</si>
  <si>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</si>
  <si>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</si>
  <si>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</si>
  <si>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</si>
  <si>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</si>
  <si>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</si>
  <si>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</si>
  <si>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</si>
  <si>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</si>
  <si>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</si>
  <si>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</si>
  <si>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</si>
  <si>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</si>
  <si>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</si>
  <si>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</si>
  <si>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</si>
  <si>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</si>
  <si>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</si>
  <si>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</si>
  <si>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</si>
  <si>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</si>
  <si>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</si>
  <si>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</si>
  <si>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</si>
  <si>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</si>
  <si>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</si>
  <si>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</si>
  <si>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</si>
  <si>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</si>
  <si>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</si>
  <si>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</si>
  <si>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</si>
  <si>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</si>
  <si>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</si>
  <si>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</si>
  <si>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</si>
  <si>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</si>
  <si>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</si>
  <si>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</si>
  <si>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</si>
  <si>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</si>
  <si>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</si>
  <si>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</si>
  <si>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t xml:space="preserve">Прогноз налога на имущество физических лиц       на 2024 год,   рублей     </t>
  </si>
  <si>
    <t>14=гр.10*0,235+гр.11*0,180+гр.12*0,065+гр.13*0,520</t>
  </si>
  <si>
    <t>Расчет индекса доходного потенциала поселений Краснокутского района на 2025 год</t>
  </si>
  <si>
    <t>ФОТ, прогноз на 2025год, тыс. руб</t>
  </si>
  <si>
    <t xml:space="preserve">Прогноз налога на доходы физических лиц на 2025 год,    руб        </t>
  </si>
  <si>
    <t xml:space="preserve">   Расчет распределения на 2025 год дотации на выравнивания бюджетной обеспеченности поселений Краснокутского района</t>
  </si>
  <si>
    <t>Расчет индекса доходного потенциала поселений Краснокутского района на 2025год ( продолжение)</t>
  </si>
  <si>
    <t>Прогноз  земельного  налога   на 2025 год</t>
  </si>
  <si>
    <t>Сумма налога по 5-НДФЛ за 2022 год</t>
  </si>
  <si>
    <t>Сумма налога к уплате в бюджет  по форме 5-МН за 2022 год.  Рублей</t>
  </si>
  <si>
    <t>Земельный налог, по форме 5-МН за 2022год</t>
  </si>
  <si>
    <t>5=103930867/30757*(0,41- гр.4)*гр.3*гр.1</t>
  </si>
  <si>
    <t>Утверждено на 2025  год ( решение Собрания депутатов "О бюджете Краснокутского муниципального района на 2023 год и на плановый период 2024 и 2025  годов)</t>
  </si>
  <si>
    <r>
      <t>6=0,6+0,4*(</t>
    </r>
    <r>
      <rPr>
        <b/>
        <sz val="11"/>
        <rFont val="Calibri"/>
        <family val="2"/>
        <charset val="204"/>
      </rPr>
      <t>Σгр.</t>
    </r>
    <r>
      <rPr>
        <b/>
        <sz val="11"/>
        <rFont val="Calibri"/>
        <family val="2"/>
        <charset val="204"/>
        <scheme val="minor"/>
      </rPr>
      <t>1/12)/гр.1</t>
    </r>
  </si>
  <si>
    <t xml:space="preserve"> Расчет индекса  бюджетных расходов поселений Краснокутского  района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</si>
</sst>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Border="1"/>
    <xf numFmtId="0" fontId="4" fillId="0" borderId="4" xfId="0" applyFont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/>
    <xf numFmtId="0" fontId="4" fillId="0" borderId="4" xfId="0" applyFont="1" applyBorder="1"/>
    <xf numFmtId="0" fontId="4" fillId="0" borderId="0" xfId="0" applyFont="1"/>
    <xf numFmtId="0" fontId="0" fillId="0" borderId="7" xfId="0" applyFont="1" applyBorder="1"/>
    <xf numFmtId="0" fontId="4" fillId="0" borderId="4" xfId="0" applyFont="1" applyFill="1" applyBorder="1" applyAlignment="1">
      <alignment wrapText="1"/>
    </xf>
    <xf numFmtId="0" fontId="7" fillId="0" borderId="0" xfId="0" applyFont="1" applyAlignment="1"/>
    <xf numFmtId="0" fontId="0" fillId="0" borderId="0" xfId="0" applyFont="1" applyBorder="1"/>
    <xf numFmtId="0" fontId="4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8" fillId="0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5" fontId="0" fillId="3" borderId="4" xfId="0" applyNumberFormat="1" applyFont="1" applyFill="1" applyBorder="1"/>
    <xf numFmtId="0" fontId="0" fillId="3" borderId="4" xfId="0" applyFont="1" applyFill="1" applyBorder="1"/>
    <xf numFmtId="0" fontId="0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7" xfId="0" applyFont="1" applyFill="1" applyBorder="1"/>
    <xf numFmtId="0" fontId="5" fillId="0" borderId="0" xfId="0" applyFont="1" applyFill="1" applyAlignment="1">
      <alignment horizontal="center"/>
    </xf>
    <xf numFmtId="0" fontId="4" fillId="3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wrapText="1"/>
    </xf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1" fontId="8" fillId="0" borderId="0" xfId="0" applyNumberFormat="1" applyFont="1" applyFill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2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8" fillId="0" borderId="2" xfId="0" applyFont="1" applyFill="1" applyBorder="1"/>
    <xf numFmtId="1" fontId="8" fillId="0" borderId="2" xfId="0" applyNumberFormat="1" applyFont="1" applyFill="1" applyBorder="1"/>
    <xf numFmtId="0" fontId="4" fillId="0" borderId="4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4" xfId="0" applyFont="1" applyFill="1" applyBorder="1"/>
    <xf numFmtId="0" fontId="9" fillId="0" borderId="4" xfId="0" applyFont="1" applyFill="1" applyBorder="1"/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166" fontId="8" fillId="0" borderId="4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1" fontId="0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1" fontId="8" fillId="0" borderId="4" xfId="0" applyNumberFormat="1" applyFont="1" applyFill="1" applyBorder="1"/>
    <xf numFmtId="4" fontId="8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10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0" borderId="5" xfId="0" applyNumberFormat="1" applyFont="1" applyBorder="1" applyAlignment="1">
      <alignment wrapText="1"/>
    </xf>
    <xf numFmtId="0" fontId="0" fillId="0" borderId="3" xfId="0" applyNumberFormat="1" applyFont="1" applyBorder="1" applyAlignment="1">
      <alignment wrapText="1"/>
    </xf>
    <xf numFmtId="0" fontId="8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164" fontId="8" fillId="0" borderId="4" xfId="0" applyNumberFormat="1" applyFont="1" applyFill="1" applyBorder="1"/>
    <xf numFmtId="164" fontId="9" fillId="0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J33"/>
  <sheetViews>
    <sheetView tabSelected="1" zoomScaleNormal="100" workbookViewId="0">
      <selection activeCell="H17" sqref="H17"/>
    </sheetView>
  </sheetViews>
  <sheetFormatPr defaultRowHeight="15" x14ac:dyDescent="0.25"/>
  <cols>
    <col min="1" max="1" width="23.5703125" style="1" customWidth="1"/>
    <col min="2" max="2" width="13.85546875" style="1" customWidth="1"/>
    <col min="3" max="3" width="14.140625" style="1" hidden="1" customWidth="1"/>
    <col min="4" max="4" width="18.28515625" style="1" customWidth="1"/>
    <col min="5" max="5" width="13.140625" style="1" customWidth="1"/>
    <col min="6" max="6" width="13.28515625" style="1" customWidth="1"/>
    <col min="7" max="7" width="24" style="1" customWidth="1"/>
    <col min="8" max="8" width="22" style="1" customWidth="1"/>
    <col min="9" max="9" width="16.5703125" style="1" customWidth="1"/>
    <col min="10" max="10" width="15.7109375" style="1" customWidth="1"/>
    <col min="11" max="16384" width="9.140625" style="1"/>
  </cols>
  <sheetData>
    <row r="1" spans="1:10" s="24" customFormat="1" x14ac:dyDescent="0.25"/>
    <row r="2" spans="1:10" s="24" customFormat="1" x14ac:dyDescent="0.25">
      <c r="A2" s="40" t="s">
        <v>77</v>
      </c>
    </row>
    <row r="3" spans="1:10" s="24" customFormat="1" x14ac:dyDescent="0.25">
      <c r="J3" s="41"/>
    </row>
    <row r="4" spans="1:10" s="24" customFormat="1" x14ac:dyDescent="0.25">
      <c r="I4" s="24" t="s">
        <v>69</v>
      </c>
      <c r="J4" s="41"/>
    </row>
    <row r="5" spans="1:10" s="24" customFormat="1" ht="45" customHeight="1" x14ac:dyDescent="0.25">
      <c r="A5" s="113"/>
      <c r="B5" s="115" t="s">
        <v>0</v>
      </c>
      <c r="C5" s="106"/>
      <c r="D5" s="115" t="s">
        <v>38</v>
      </c>
      <c r="E5" s="115" t="s">
        <v>40</v>
      </c>
      <c r="F5" s="109" t="s">
        <v>39</v>
      </c>
      <c r="G5" s="111" t="s">
        <v>71</v>
      </c>
      <c r="H5" s="109" t="s">
        <v>84</v>
      </c>
      <c r="I5" s="111" t="s">
        <v>42</v>
      </c>
      <c r="J5" s="112"/>
    </row>
    <row r="6" spans="1:10" s="24" customFormat="1" ht="90" customHeight="1" x14ac:dyDescent="0.25">
      <c r="A6" s="114"/>
      <c r="B6" s="116"/>
      <c r="C6" s="107"/>
      <c r="D6" s="116"/>
      <c r="E6" s="116"/>
      <c r="F6" s="110"/>
      <c r="G6" s="111"/>
      <c r="H6" s="110"/>
      <c r="I6" s="111"/>
      <c r="J6" s="112"/>
    </row>
    <row r="7" spans="1:10" x14ac:dyDescent="0.25">
      <c r="A7" s="16"/>
      <c r="B7" s="18"/>
      <c r="C7" s="18"/>
      <c r="D7" s="4"/>
      <c r="E7" s="4"/>
      <c r="F7" s="4"/>
      <c r="G7" s="4"/>
      <c r="H7" s="66"/>
      <c r="I7" s="4"/>
      <c r="J7" s="69"/>
    </row>
    <row r="8" spans="1:10" ht="30" x14ac:dyDescent="0.25">
      <c r="A8" s="19"/>
      <c r="B8" s="42">
        <v>1</v>
      </c>
      <c r="C8" s="20"/>
      <c r="D8" s="50">
        <v>2</v>
      </c>
      <c r="E8" s="50">
        <v>3</v>
      </c>
      <c r="F8" s="50">
        <v>4</v>
      </c>
      <c r="G8" s="70" t="s">
        <v>83</v>
      </c>
      <c r="H8" s="76"/>
      <c r="I8" s="70"/>
      <c r="J8" s="58"/>
    </row>
    <row r="9" spans="1:10" x14ac:dyDescent="0.25">
      <c r="A9" s="2"/>
      <c r="B9" s="36"/>
      <c r="C9" s="2"/>
      <c r="D9" s="50"/>
      <c r="E9" s="50"/>
      <c r="F9" s="50"/>
      <c r="G9" s="50"/>
      <c r="H9" s="79"/>
      <c r="I9" s="50"/>
      <c r="J9" s="58"/>
    </row>
    <row r="10" spans="1:10" x14ac:dyDescent="0.25">
      <c r="A10" s="38" t="s">
        <v>8</v>
      </c>
      <c r="B10" s="129">
        <v>16735</v>
      </c>
      <c r="C10" s="4"/>
      <c r="D10" s="90">
        <v>1.02</v>
      </c>
      <c r="E10" s="90">
        <v>0.94</v>
      </c>
      <c r="F10" s="90">
        <f>SUM(D10/E10)</f>
        <v>1.0851063829787235</v>
      </c>
      <c r="G10" s="102"/>
      <c r="H10" s="80"/>
      <c r="I10" s="50"/>
      <c r="J10" s="58"/>
    </row>
    <row r="11" spans="1:10" x14ac:dyDescent="0.25">
      <c r="A11" s="38" t="s">
        <v>9</v>
      </c>
      <c r="B11" s="33">
        <v>975</v>
      </c>
      <c r="C11" s="4"/>
      <c r="D11" s="90">
        <v>0.45900000000000002</v>
      </c>
      <c r="E11" s="90">
        <v>1.1299999999999999</v>
      </c>
      <c r="F11" s="90">
        <f t="shared" ref="F11:F22" si="0">SUM(D11/E11)</f>
        <v>0.40619469026548677</v>
      </c>
      <c r="G11" s="102">
        <f>103930867/30757*(0.41-F11)*E11*B11</f>
        <v>14166.861524124337</v>
      </c>
      <c r="H11" s="80">
        <v>32530</v>
      </c>
      <c r="I11" s="102">
        <v>32530</v>
      </c>
      <c r="J11" s="58"/>
    </row>
    <row r="12" spans="1:10" x14ac:dyDescent="0.25">
      <c r="A12" s="38" t="s">
        <v>10</v>
      </c>
      <c r="B12" s="33">
        <v>1121</v>
      </c>
      <c r="C12" s="4"/>
      <c r="D12" s="50">
        <v>0.4</v>
      </c>
      <c r="E12" s="90">
        <v>1.145</v>
      </c>
      <c r="F12" s="90">
        <f t="shared" si="0"/>
        <v>0.3493449781659389</v>
      </c>
      <c r="G12" s="102">
        <f>103930867/30757*(0.41-F12)*E12*B12</f>
        <v>263074.31015512376</v>
      </c>
      <c r="H12" s="80">
        <v>442841</v>
      </c>
      <c r="I12" s="102">
        <v>442841</v>
      </c>
      <c r="J12" s="58"/>
    </row>
    <row r="13" spans="1:10" x14ac:dyDescent="0.25">
      <c r="A13" s="38" t="s">
        <v>11</v>
      </c>
      <c r="B13" s="33">
        <v>1238</v>
      </c>
      <c r="C13" s="4"/>
      <c r="D13" s="50">
        <v>2.1309999999999998</v>
      </c>
      <c r="E13" s="90">
        <v>1.18</v>
      </c>
      <c r="F13" s="90">
        <f t="shared" si="0"/>
        <v>1.8059322033898304</v>
      </c>
      <c r="G13" s="102"/>
      <c r="H13" s="80"/>
      <c r="I13" s="102"/>
      <c r="J13" s="58"/>
    </row>
    <row r="14" spans="1:10" x14ac:dyDescent="0.25">
      <c r="A14" s="38" t="s">
        <v>12</v>
      </c>
      <c r="B14" s="33">
        <v>1391</v>
      </c>
      <c r="C14" s="4"/>
      <c r="D14" s="50">
        <v>1.421</v>
      </c>
      <c r="E14" s="90">
        <v>0.98699999999999999</v>
      </c>
      <c r="F14" s="90">
        <f t="shared" si="0"/>
        <v>1.4397163120567376</v>
      </c>
      <c r="G14" s="102"/>
      <c r="H14" s="80"/>
      <c r="I14" s="102"/>
      <c r="J14" s="58"/>
    </row>
    <row r="15" spans="1:10" x14ac:dyDescent="0.25">
      <c r="A15" s="38" t="s">
        <v>13</v>
      </c>
      <c r="B15" s="33">
        <v>859</v>
      </c>
      <c r="C15" s="4"/>
      <c r="D15" s="90">
        <v>4.1529999999999996</v>
      </c>
      <c r="E15" s="90">
        <v>1.212</v>
      </c>
      <c r="F15" s="90">
        <f t="shared" si="0"/>
        <v>3.4265676567656764</v>
      </c>
      <c r="G15" s="102"/>
      <c r="H15" s="80"/>
      <c r="I15" s="102"/>
      <c r="J15" s="58"/>
    </row>
    <row r="16" spans="1:10" x14ac:dyDescent="0.25">
      <c r="A16" s="38" t="s">
        <v>14</v>
      </c>
      <c r="B16" s="33">
        <v>996</v>
      </c>
      <c r="C16" s="4"/>
      <c r="D16" s="50">
        <v>0.34599999999999997</v>
      </c>
      <c r="E16" s="90">
        <v>1.19</v>
      </c>
      <c r="F16" s="90">
        <f t="shared" si="0"/>
        <v>0.29075630252100837</v>
      </c>
      <c r="G16" s="102">
        <f>103930867/30757*(0.41-F16)*E16*B16</f>
        <v>477575.79956402775</v>
      </c>
      <c r="H16" s="80">
        <v>369503</v>
      </c>
      <c r="I16" s="102">
        <v>477576</v>
      </c>
      <c r="J16" s="58"/>
    </row>
    <row r="17" spans="1:10" x14ac:dyDescent="0.25">
      <c r="A17" s="38" t="s">
        <v>15</v>
      </c>
      <c r="B17" s="33">
        <v>1396</v>
      </c>
      <c r="C17" s="4"/>
      <c r="D17" s="50">
        <v>1.093</v>
      </c>
      <c r="E17" s="90">
        <v>1.008</v>
      </c>
      <c r="F17" s="90">
        <f t="shared" si="0"/>
        <v>1.0843253968253967</v>
      </c>
      <c r="G17" s="102"/>
      <c r="H17" s="80"/>
      <c r="I17" s="102"/>
      <c r="J17" s="58"/>
    </row>
    <row r="18" spans="1:10" x14ac:dyDescent="0.25">
      <c r="A18" s="38" t="s">
        <v>16</v>
      </c>
      <c r="B18" s="33">
        <v>1741</v>
      </c>
      <c r="C18" s="4"/>
      <c r="D18" s="50">
        <v>0.311</v>
      </c>
      <c r="E18" s="90">
        <v>1.0109999999999999</v>
      </c>
      <c r="F18" s="90">
        <f t="shared" si="0"/>
        <v>0.30761622156280916</v>
      </c>
      <c r="G18" s="102">
        <f>103930867/30757*(0.41-F18)*E18*B18</f>
        <v>608950.03151019139</v>
      </c>
      <c r="H18" s="80">
        <v>530733</v>
      </c>
      <c r="I18" s="102">
        <v>608950</v>
      </c>
      <c r="J18" s="58"/>
    </row>
    <row r="19" spans="1:10" x14ac:dyDescent="0.25">
      <c r="A19" s="38" t="s">
        <v>17</v>
      </c>
      <c r="B19" s="33">
        <v>1942</v>
      </c>
      <c r="C19" s="4"/>
      <c r="D19" s="90">
        <v>0.56399999999999995</v>
      </c>
      <c r="E19" s="90">
        <v>0.879</v>
      </c>
      <c r="F19" s="90">
        <f t="shared" si="0"/>
        <v>0.64163822525597258</v>
      </c>
      <c r="G19" s="102"/>
      <c r="H19" s="80"/>
      <c r="I19" s="102"/>
      <c r="J19" s="58"/>
    </row>
    <row r="20" spans="1:10" x14ac:dyDescent="0.25">
      <c r="A20" s="38" t="s">
        <v>18</v>
      </c>
      <c r="B20" s="33">
        <v>1361</v>
      </c>
      <c r="C20" s="4"/>
      <c r="D20" s="50">
        <v>0.35</v>
      </c>
      <c r="E20" s="90">
        <v>0.98799999999999999</v>
      </c>
      <c r="F20" s="90">
        <f t="shared" si="0"/>
        <v>0.35425101214574894</v>
      </c>
      <c r="G20" s="102">
        <f>103930867/30757*(0.41-F20)*E20*B20</f>
        <v>253310.17466215699</v>
      </c>
      <c r="H20" s="80"/>
      <c r="I20" s="102">
        <v>253310</v>
      </c>
      <c r="J20" s="58"/>
    </row>
    <row r="21" spans="1:10" x14ac:dyDescent="0.25">
      <c r="A21" s="38" t="s">
        <v>19</v>
      </c>
      <c r="B21" s="33">
        <v>1002</v>
      </c>
      <c r="C21" s="4"/>
      <c r="D21" s="90">
        <v>0.626</v>
      </c>
      <c r="E21" s="90">
        <v>1.1220000000000001</v>
      </c>
      <c r="F21" s="90">
        <f t="shared" si="0"/>
        <v>0.55793226381461669</v>
      </c>
      <c r="G21" s="102"/>
      <c r="H21" s="80"/>
      <c r="I21" s="50"/>
      <c r="J21" s="58"/>
    </row>
    <row r="22" spans="1:10" x14ac:dyDescent="0.25">
      <c r="A22" s="38" t="s">
        <v>7</v>
      </c>
      <c r="B22" s="85">
        <f t="shared" ref="B22" si="1">SUM(B10:B21)</f>
        <v>30757</v>
      </c>
      <c r="C22" s="101"/>
      <c r="D22" s="50">
        <v>1</v>
      </c>
      <c r="E22" s="50">
        <v>1</v>
      </c>
      <c r="F22" s="90">
        <f t="shared" si="0"/>
        <v>1</v>
      </c>
      <c r="G22" s="102">
        <f>SUM(G11:G20)</f>
        <v>1617077.1774156243</v>
      </c>
      <c r="H22" s="80">
        <f>SUM(H11:H21)</f>
        <v>1375607</v>
      </c>
      <c r="I22" s="102">
        <f>SUM(I11:I20)</f>
        <v>1815207</v>
      </c>
      <c r="J22" s="58"/>
    </row>
    <row r="23" spans="1:10" x14ac:dyDescent="0.25">
      <c r="A23" s="38"/>
      <c r="B23" s="4"/>
      <c r="C23" s="4"/>
      <c r="D23" s="50"/>
      <c r="E23" s="50"/>
      <c r="F23" s="50"/>
      <c r="G23" s="102"/>
      <c r="H23" s="80"/>
      <c r="I23" s="50"/>
      <c r="J23" s="58"/>
    </row>
    <row r="24" spans="1:10" x14ac:dyDescent="0.25">
      <c r="A24" s="38"/>
      <c r="B24" s="4"/>
      <c r="C24" s="4"/>
      <c r="D24" s="50"/>
      <c r="E24" s="50"/>
      <c r="F24" s="50"/>
      <c r="G24" s="102"/>
      <c r="H24" s="80"/>
      <c r="I24" s="50"/>
      <c r="J24" s="58"/>
    </row>
    <row r="25" spans="1:10" x14ac:dyDescent="0.25">
      <c r="B25" s="5"/>
      <c r="C25" s="5"/>
      <c r="D25" s="57"/>
      <c r="E25" s="57"/>
      <c r="F25" s="57"/>
      <c r="G25" s="57"/>
      <c r="H25" s="57"/>
      <c r="I25" s="71"/>
      <c r="J25" s="57"/>
    </row>
    <row r="26" spans="1:10" x14ac:dyDescent="0.25">
      <c r="D26" s="5"/>
      <c r="E26" s="5"/>
      <c r="F26" s="5"/>
      <c r="G26" s="5"/>
      <c r="H26" s="5"/>
      <c r="I26" s="5"/>
      <c r="J26" s="5"/>
    </row>
    <row r="27" spans="1:10" x14ac:dyDescent="0.25">
      <c r="A27" s="56" t="s">
        <v>41</v>
      </c>
      <c r="B27" s="56"/>
      <c r="C27" s="56">
        <v>63668130</v>
      </c>
      <c r="D27" s="57">
        <v>103930867</v>
      </c>
      <c r="E27" s="57"/>
      <c r="F27" s="5"/>
      <c r="G27" s="13"/>
      <c r="H27" s="5"/>
      <c r="I27" s="5"/>
      <c r="J27" s="5"/>
    </row>
    <row r="28" spans="1:10" x14ac:dyDescent="0.25">
      <c r="D28" s="5"/>
      <c r="E28" s="5"/>
      <c r="F28" s="5"/>
      <c r="G28" s="5"/>
      <c r="H28" s="5"/>
      <c r="I28" s="5"/>
      <c r="J28" s="5"/>
    </row>
    <row r="29" spans="1:10" x14ac:dyDescent="0.25">
      <c r="E29" s="5"/>
      <c r="F29" s="5"/>
      <c r="G29" s="5"/>
      <c r="H29" s="5"/>
      <c r="I29" s="5"/>
      <c r="J29" s="5"/>
    </row>
    <row r="30" spans="1:10" x14ac:dyDescent="0.25">
      <c r="E30" s="5"/>
      <c r="F30" s="5"/>
      <c r="G30" s="5"/>
      <c r="H30" s="5"/>
      <c r="I30" s="5"/>
    </row>
    <row r="31" spans="1:10" x14ac:dyDescent="0.25">
      <c r="F31" s="5"/>
      <c r="G31" s="5"/>
      <c r="H31" s="5"/>
      <c r="I31" s="5"/>
    </row>
    <row r="32" spans="1:10" x14ac:dyDescent="0.25">
      <c r="F32" s="5"/>
      <c r="G32" s="5"/>
      <c r="H32" s="5"/>
      <c r="I32" s="5"/>
    </row>
    <row r="33" spans="6:9" x14ac:dyDescent="0.25">
      <c r="F33" s="5"/>
      <c r="G33" s="5"/>
      <c r="H33" s="5"/>
      <c r="I33" s="5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"/>
  <sheetViews>
    <sheetView zoomScale="110" zoomScaleNormal="11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Y17" sqref="Y17"/>
    </sheetView>
  </sheetViews>
  <sheetFormatPr defaultRowHeight="15" x14ac:dyDescent="0.25"/>
  <cols>
    <col min="1" max="1" width="4.140625" style="1" customWidth="1"/>
    <col min="2" max="2" width="19.7109375" style="1" customWidth="1"/>
    <col min="3" max="3" width="11.5703125" style="7" customWidth="1"/>
    <col min="4" max="4" width="12.5703125" style="7" customWidth="1"/>
    <col min="5" max="5" width="15.42578125" style="1" customWidth="1"/>
    <col min="6" max="6" width="12.7109375" style="1" customWidth="1"/>
    <col min="7" max="7" width="15.28515625" style="1" customWidth="1"/>
    <col min="8" max="8" width="13" style="1" customWidth="1"/>
    <col min="9" max="9" width="14" style="1" customWidth="1"/>
    <col min="10" max="10" width="13.28515625" style="1" customWidth="1"/>
    <col min="11" max="11" width="13.7109375" style="1" customWidth="1"/>
    <col min="12" max="12" width="12" style="1" customWidth="1"/>
    <col min="13" max="13" width="12.7109375" style="1" customWidth="1"/>
    <col min="14" max="14" width="10.140625" style="1" customWidth="1"/>
    <col min="15" max="15" width="14" style="1" customWidth="1"/>
    <col min="16" max="16" width="11.140625" style="1" customWidth="1"/>
    <col min="17" max="17" width="0.140625" style="1" customWidth="1"/>
    <col min="18" max="18" width="13" style="1" customWidth="1"/>
    <col min="19" max="19" width="12.140625" style="1" customWidth="1"/>
    <col min="20" max="20" width="10.7109375" style="1" customWidth="1"/>
    <col min="21" max="21" width="12.5703125" style="1" customWidth="1"/>
    <col min="22" max="22" width="13" style="1" customWidth="1"/>
    <col min="23" max="23" width="13" style="8" customWidth="1"/>
    <col min="24" max="24" width="14.28515625" style="8" customWidth="1"/>
    <col min="25" max="25" width="12.140625" style="8" customWidth="1"/>
    <col min="26" max="26" width="15.28515625" style="8" customWidth="1"/>
    <col min="27" max="27" width="9.42578125" style="5" bestFit="1" customWidth="1"/>
    <col min="28" max="28" width="9.140625" style="5"/>
    <col min="29" max="16384" width="9.140625" style="1"/>
  </cols>
  <sheetData>
    <row r="1" spans="1:28" ht="1.5" customHeight="1" x14ac:dyDescent="0.25"/>
    <row r="2" spans="1:28" s="24" customFormat="1" ht="4.5" customHeight="1" x14ac:dyDescent="0.25">
      <c r="C2" s="25"/>
      <c r="D2" s="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W2" s="27"/>
      <c r="X2" s="27"/>
      <c r="Y2" s="27"/>
      <c r="Z2" s="27"/>
      <c r="AA2" s="28"/>
      <c r="AB2" s="28"/>
    </row>
    <row r="3" spans="1:28" s="24" customFormat="1" ht="15" customHeight="1" x14ac:dyDescent="0.3">
      <c r="A3" s="28"/>
      <c r="B3" s="117" t="s">
        <v>74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26"/>
      <c r="O3" s="26"/>
      <c r="P3" s="117" t="s">
        <v>78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28"/>
    </row>
    <row r="4" spans="1:28" s="24" customFormat="1" ht="15" customHeigh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6"/>
      <c r="O4" s="26"/>
      <c r="P4" s="29"/>
      <c r="Q4" s="29"/>
      <c r="R4" s="29"/>
      <c r="S4" s="29"/>
      <c r="T4" s="29"/>
      <c r="U4" s="29"/>
      <c r="V4" s="29"/>
      <c r="W4" s="29"/>
      <c r="X4" s="29"/>
      <c r="Y4" s="29"/>
      <c r="Z4" s="30" t="s">
        <v>68</v>
      </c>
      <c r="AA4" s="59"/>
      <c r="AB4" s="28"/>
    </row>
    <row r="5" spans="1:28" ht="6" customHeight="1" x14ac:dyDescent="0.25"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28" hidden="1" x14ac:dyDescent="0.25"/>
    <row r="7" spans="1:28" ht="15" customHeight="1" x14ac:dyDescent="0.25">
      <c r="A7" s="33"/>
      <c r="B7" s="115" t="s">
        <v>28</v>
      </c>
      <c r="C7" s="130" t="s">
        <v>29</v>
      </c>
      <c r="D7" s="131"/>
      <c r="E7" s="131"/>
      <c r="F7" s="131"/>
      <c r="G7" s="132"/>
      <c r="H7" s="133" t="s">
        <v>44</v>
      </c>
      <c r="I7" s="133"/>
      <c r="J7" s="133"/>
      <c r="K7" s="133"/>
      <c r="L7" s="134"/>
      <c r="M7" s="134"/>
      <c r="N7" s="134"/>
      <c r="O7" s="134"/>
      <c r="P7" s="120"/>
      <c r="Q7" s="120"/>
      <c r="R7" s="120"/>
      <c r="S7" s="120"/>
      <c r="T7" s="121"/>
      <c r="U7" s="109" t="s">
        <v>67</v>
      </c>
      <c r="V7" s="109" t="s">
        <v>32</v>
      </c>
      <c r="W7" s="118" t="s">
        <v>48</v>
      </c>
      <c r="X7" s="111" t="s">
        <v>36</v>
      </c>
      <c r="Y7" s="111" t="s">
        <v>37</v>
      </c>
      <c r="Z7" s="111" t="s">
        <v>38</v>
      </c>
    </row>
    <row r="8" spans="1:28" s="17" customFormat="1" ht="122.25" customHeight="1" x14ac:dyDescent="0.25">
      <c r="A8" s="105" t="s">
        <v>30</v>
      </c>
      <c r="B8" s="119"/>
      <c r="C8" s="51" t="s">
        <v>75</v>
      </c>
      <c r="D8" s="51" t="s">
        <v>80</v>
      </c>
      <c r="E8" s="51" t="s">
        <v>76</v>
      </c>
      <c r="F8" s="51" t="s">
        <v>43</v>
      </c>
      <c r="G8" s="51" t="s">
        <v>31</v>
      </c>
      <c r="H8" s="135" t="s">
        <v>81</v>
      </c>
      <c r="I8" s="135" t="s">
        <v>45</v>
      </c>
      <c r="J8" s="135" t="s">
        <v>46</v>
      </c>
      <c r="K8" s="135" t="s">
        <v>72</v>
      </c>
      <c r="L8" s="136" t="s">
        <v>82</v>
      </c>
      <c r="M8" s="137"/>
      <c r="N8" s="138"/>
      <c r="O8" s="51" t="s">
        <v>45</v>
      </c>
      <c r="P8" s="51" t="s">
        <v>46</v>
      </c>
      <c r="Q8" s="47"/>
      <c r="R8" s="136" t="s">
        <v>79</v>
      </c>
      <c r="S8" s="137"/>
      <c r="T8" s="138"/>
      <c r="U8" s="110"/>
      <c r="V8" s="110"/>
      <c r="W8" s="118"/>
      <c r="X8" s="111"/>
      <c r="Y8" s="111"/>
      <c r="Z8" s="111"/>
      <c r="AA8" s="67"/>
      <c r="AB8" s="67"/>
    </row>
    <row r="9" spans="1:28" s="22" customFormat="1" x14ac:dyDescent="0.25">
      <c r="A9" s="34">
        <v>1</v>
      </c>
      <c r="B9" s="31">
        <v>2</v>
      </c>
      <c r="C9" s="51">
        <v>3</v>
      </c>
      <c r="D9" s="5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51">
        <v>12</v>
      </c>
      <c r="M9" s="51">
        <v>13</v>
      </c>
      <c r="N9" s="51">
        <v>14</v>
      </c>
      <c r="O9" s="65">
        <v>15</v>
      </c>
      <c r="P9" s="65">
        <v>16</v>
      </c>
      <c r="Q9" s="31"/>
      <c r="R9" s="51">
        <v>17</v>
      </c>
      <c r="S9" s="51">
        <v>18</v>
      </c>
      <c r="T9" s="51">
        <v>19</v>
      </c>
      <c r="U9" s="65">
        <v>20</v>
      </c>
      <c r="V9" s="65">
        <v>21</v>
      </c>
      <c r="W9" s="65">
        <v>22</v>
      </c>
      <c r="X9" s="34">
        <v>23</v>
      </c>
      <c r="Y9" s="34">
        <v>24</v>
      </c>
      <c r="Z9" s="34">
        <v>25</v>
      </c>
      <c r="AA9" s="68"/>
      <c r="AB9" s="68"/>
    </row>
    <row r="10" spans="1:28" s="3" customFormat="1" ht="40.5" customHeight="1" x14ac:dyDescent="0.25">
      <c r="A10" s="35"/>
      <c r="B10" s="36"/>
      <c r="C10" s="52"/>
      <c r="D10" s="61"/>
      <c r="E10" s="36"/>
      <c r="F10" s="32"/>
      <c r="G10" s="32"/>
      <c r="H10" s="73"/>
      <c r="I10" s="73"/>
      <c r="J10" s="73"/>
      <c r="K10" s="73"/>
      <c r="L10" s="61" t="s">
        <v>33</v>
      </c>
      <c r="M10" s="52" t="s">
        <v>34</v>
      </c>
      <c r="N10" s="51" t="s">
        <v>7</v>
      </c>
      <c r="O10" s="73"/>
      <c r="P10" s="32"/>
      <c r="Q10" s="60"/>
      <c r="R10" s="139" t="s">
        <v>33</v>
      </c>
      <c r="S10" s="139" t="s">
        <v>35</v>
      </c>
      <c r="T10" s="140" t="s">
        <v>7</v>
      </c>
      <c r="U10" s="64" t="s">
        <v>47</v>
      </c>
      <c r="V10" s="64" t="s">
        <v>51</v>
      </c>
      <c r="W10" s="32"/>
      <c r="X10" s="32"/>
      <c r="Y10" s="52" t="s">
        <v>49</v>
      </c>
      <c r="Z10" s="52" t="s">
        <v>50</v>
      </c>
      <c r="AA10" s="11"/>
      <c r="AB10" s="12"/>
    </row>
    <row r="11" spans="1:28" x14ac:dyDescent="0.25">
      <c r="A11" s="37">
        <v>1</v>
      </c>
      <c r="B11" s="38" t="s">
        <v>8</v>
      </c>
      <c r="C11" s="103">
        <v>1675494</v>
      </c>
      <c r="D11" s="141">
        <v>20631825.600000001</v>
      </c>
      <c r="E11" s="92"/>
      <c r="F11" s="93">
        <f>D11/D23*E23</f>
        <v>22885561.108106192</v>
      </c>
      <c r="G11" s="103">
        <f>C11*13*100%</f>
        <v>21781422</v>
      </c>
      <c r="H11" s="141">
        <v>11821000</v>
      </c>
      <c r="I11" s="93"/>
      <c r="J11" s="93">
        <f>SUM(H11/H23*I23)</f>
        <v>10787845.102344358</v>
      </c>
      <c r="K11" s="103">
        <v>10774000</v>
      </c>
      <c r="L11" s="142">
        <v>2190000</v>
      </c>
      <c r="M11" s="143">
        <v>7976000</v>
      </c>
      <c r="N11" s="96">
        <f>L11+M11</f>
        <v>10166000</v>
      </c>
      <c r="O11" s="72"/>
      <c r="P11" s="93">
        <f>N11/N23*O23</f>
        <v>9535107.0366699696</v>
      </c>
      <c r="Q11" s="53"/>
      <c r="R11" s="141">
        <v>2626000</v>
      </c>
      <c r="S11" s="144">
        <v>8136000</v>
      </c>
      <c r="T11" s="52">
        <f>R11+S11</f>
        <v>10762000</v>
      </c>
      <c r="U11" s="97">
        <f>F11+P11+J11</f>
        <v>43208513.247120522</v>
      </c>
      <c r="V11" s="97">
        <f t="shared" ref="V11:V22" si="0">T11+K11+G11</f>
        <v>43317422</v>
      </c>
      <c r="W11" s="129">
        <v>16735</v>
      </c>
      <c r="X11" s="108">
        <v>1106760</v>
      </c>
      <c r="Y11" s="97">
        <f>U11+X11</f>
        <v>44315273.247120522</v>
      </c>
      <c r="Z11" s="99">
        <f>SUM(Y11/W11)/(Y23/W23)</f>
        <v>1.0198247572756747</v>
      </c>
      <c r="AA11" s="13"/>
    </row>
    <row r="12" spans="1:28" x14ac:dyDescent="0.25">
      <c r="A12" s="37">
        <v>2</v>
      </c>
      <c r="B12" s="38" t="s">
        <v>9</v>
      </c>
      <c r="C12" s="103">
        <v>31156</v>
      </c>
      <c r="D12" s="141">
        <v>458495.9</v>
      </c>
      <c r="E12" s="92"/>
      <c r="F12" s="93">
        <f>D12/D23*E23</f>
        <v>508580.10050580045</v>
      </c>
      <c r="G12" s="103">
        <f t="shared" ref="G12:G22" si="1">C12*13*100%</f>
        <v>405028</v>
      </c>
      <c r="H12" s="141">
        <v>147000</v>
      </c>
      <c r="I12" s="93"/>
      <c r="J12" s="93">
        <f>SUM(H12/H23*I23)</f>
        <v>134152.20624690136</v>
      </c>
      <c r="K12" s="103">
        <v>131000</v>
      </c>
      <c r="L12" s="142">
        <v>260000</v>
      </c>
      <c r="M12" s="142">
        <v>226000</v>
      </c>
      <c r="N12" s="96">
        <f t="shared" ref="N12:N22" si="2">L12+M12</f>
        <v>486000</v>
      </c>
      <c r="O12" s="72"/>
      <c r="P12" s="93">
        <f>N12/N23*O23</f>
        <v>455839.27009852504</v>
      </c>
      <c r="Q12" s="53"/>
      <c r="R12" s="141">
        <v>303000</v>
      </c>
      <c r="S12" s="141">
        <v>231000</v>
      </c>
      <c r="T12" s="52">
        <f t="shared" ref="T12:T22" si="3">R12+S12</f>
        <v>534000</v>
      </c>
      <c r="U12" s="97">
        <f t="shared" ref="U12:U22" si="4">F12+P12+J12</f>
        <v>1098571.5768512269</v>
      </c>
      <c r="V12" s="97">
        <f t="shared" si="0"/>
        <v>1070028</v>
      </c>
      <c r="W12" s="33">
        <v>975</v>
      </c>
      <c r="X12" s="108">
        <v>64480</v>
      </c>
      <c r="Y12" s="97">
        <f t="shared" ref="Y12:Y22" si="5">U12+X12</f>
        <v>1163051.5768512269</v>
      </c>
      <c r="Z12" s="99">
        <f>SUM(Y12/W12)/(Y23/W23)</f>
        <v>0.45940127336230269</v>
      </c>
      <c r="AA12" s="13"/>
    </row>
    <row r="13" spans="1:28" x14ac:dyDescent="0.25">
      <c r="A13" s="37">
        <v>3</v>
      </c>
      <c r="B13" s="38" t="s">
        <v>10</v>
      </c>
      <c r="C13" s="103">
        <v>39803</v>
      </c>
      <c r="D13" s="141">
        <v>542710.4</v>
      </c>
      <c r="E13" s="92"/>
      <c r="F13" s="93">
        <f>D13/D23*E23</f>
        <v>601993.84504320135</v>
      </c>
      <c r="G13" s="103">
        <f t="shared" si="1"/>
        <v>517439</v>
      </c>
      <c r="H13" s="141">
        <v>268000</v>
      </c>
      <c r="I13" s="93"/>
      <c r="J13" s="93">
        <f>SUM(H13/H23*I23)</f>
        <v>244576.81138890857</v>
      </c>
      <c r="K13" s="103">
        <v>247000</v>
      </c>
      <c r="L13" s="142">
        <v>168000</v>
      </c>
      <c r="M13" s="142">
        <v>92000</v>
      </c>
      <c r="N13" s="96">
        <f t="shared" si="2"/>
        <v>260000</v>
      </c>
      <c r="O13" s="72"/>
      <c r="P13" s="93">
        <f>N13/N23*O23</f>
        <v>243864.63009386114</v>
      </c>
      <c r="Q13" s="53"/>
      <c r="R13" s="141">
        <v>214000</v>
      </c>
      <c r="S13" s="141">
        <v>94000</v>
      </c>
      <c r="T13" s="52">
        <f t="shared" si="3"/>
        <v>308000</v>
      </c>
      <c r="U13" s="97">
        <f t="shared" si="4"/>
        <v>1090435.286525971</v>
      </c>
      <c r="V13" s="97">
        <f t="shared" si="0"/>
        <v>1072439</v>
      </c>
      <c r="W13" s="33">
        <v>1121</v>
      </c>
      <c r="X13" s="108">
        <v>74130</v>
      </c>
      <c r="Y13" s="97">
        <f t="shared" si="5"/>
        <v>1164565.286525971</v>
      </c>
      <c r="Z13" s="99">
        <f>SUM(Y13/W13)/(Y23/W23)</f>
        <v>0.40008849577576594</v>
      </c>
      <c r="AA13" s="13"/>
    </row>
    <row r="14" spans="1:28" x14ac:dyDescent="0.25">
      <c r="A14" s="37">
        <v>4</v>
      </c>
      <c r="B14" s="38" t="s">
        <v>11</v>
      </c>
      <c r="C14" s="103">
        <v>100958</v>
      </c>
      <c r="D14" s="141">
        <v>861441.4</v>
      </c>
      <c r="E14" s="92"/>
      <c r="F14" s="93">
        <f>D14/D23*E23</f>
        <v>955541.7044991185</v>
      </c>
      <c r="G14" s="103">
        <f t="shared" si="1"/>
        <v>1312454</v>
      </c>
      <c r="H14" s="141">
        <v>167000</v>
      </c>
      <c r="I14" s="93"/>
      <c r="J14" s="93">
        <f>SUM(H14/H23*I23)</f>
        <v>152404.20709681988</v>
      </c>
      <c r="K14" s="103">
        <v>147000</v>
      </c>
      <c r="L14" s="142">
        <v>509000</v>
      </c>
      <c r="M14" s="142">
        <v>5527000</v>
      </c>
      <c r="N14" s="96">
        <f t="shared" si="2"/>
        <v>6036000</v>
      </c>
      <c r="O14" s="72"/>
      <c r="P14" s="93">
        <f>N14/N23*O23</f>
        <v>5661411.1817174843</v>
      </c>
      <c r="Q14" s="53"/>
      <c r="R14" s="141">
        <v>561000</v>
      </c>
      <c r="S14" s="141">
        <v>5638000</v>
      </c>
      <c r="T14" s="52">
        <f t="shared" si="3"/>
        <v>6199000</v>
      </c>
      <c r="U14" s="97">
        <f t="shared" si="4"/>
        <v>6769357.093313423</v>
      </c>
      <c r="V14" s="97">
        <f t="shared" si="0"/>
        <v>7658454</v>
      </c>
      <c r="W14" s="33">
        <v>1238</v>
      </c>
      <c r="X14" s="108">
        <v>81870</v>
      </c>
      <c r="Y14" s="97">
        <f t="shared" si="5"/>
        <v>6851227.093313423</v>
      </c>
      <c r="Z14" s="99">
        <f>SUM(Y14/W14)/(Y23/W23)</f>
        <v>2.1313047568748282</v>
      </c>
      <c r="AA14" s="13"/>
    </row>
    <row r="15" spans="1:28" x14ac:dyDescent="0.25">
      <c r="A15" s="37">
        <v>5</v>
      </c>
      <c r="B15" s="38" t="s">
        <v>12</v>
      </c>
      <c r="C15" s="103">
        <v>86136</v>
      </c>
      <c r="D15" s="141">
        <v>709629.3</v>
      </c>
      <c r="E15" s="92"/>
      <c r="F15" s="93">
        <f>D15/D23*E23</f>
        <v>787146.27702420193</v>
      </c>
      <c r="G15" s="103">
        <f t="shared" si="1"/>
        <v>1119768</v>
      </c>
      <c r="H15" s="141">
        <v>234000</v>
      </c>
      <c r="I15" s="93"/>
      <c r="J15" s="93">
        <f>SUM(H15/H23*I23)</f>
        <v>213548.40994404702</v>
      </c>
      <c r="K15" s="103">
        <v>208000</v>
      </c>
      <c r="L15" s="142">
        <v>427000</v>
      </c>
      <c r="M15" s="142">
        <v>3881000</v>
      </c>
      <c r="N15" s="96">
        <f t="shared" si="2"/>
        <v>4308000</v>
      </c>
      <c r="O15" s="72"/>
      <c r="P15" s="93">
        <f>N15/N23*O23</f>
        <v>4040649.3324782834</v>
      </c>
      <c r="Q15" s="53"/>
      <c r="R15" s="141">
        <v>487000</v>
      </c>
      <c r="S15" s="141">
        <v>195000</v>
      </c>
      <c r="T15" s="52">
        <f t="shared" si="3"/>
        <v>682000</v>
      </c>
      <c r="U15" s="97">
        <f t="shared" si="4"/>
        <v>5041344.0194465322</v>
      </c>
      <c r="V15" s="97">
        <f t="shared" si="0"/>
        <v>2009768</v>
      </c>
      <c r="W15" s="33">
        <v>1391</v>
      </c>
      <c r="X15" s="108">
        <v>91990</v>
      </c>
      <c r="Y15" s="97">
        <f t="shared" si="5"/>
        <v>5133334.0194465322</v>
      </c>
      <c r="Z15" s="99">
        <f>SUM(Y15/W15)/(Y23/W23)</f>
        <v>1.4212491896069255</v>
      </c>
      <c r="AA15" s="13"/>
    </row>
    <row r="16" spans="1:28" x14ac:dyDescent="0.25">
      <c r="A16" s="37">
        <v>6</v>
      </c>
      <c r="B16" s="38" t="s">
        <v>13</v>
      </c>
      <c r="C16" s="103">
        <v>35102</v>
      </c>
      <c r="D16" s="141">
        <v>330234.40000000002</v>
      </c>
      <c r="E16" s="92"/>
      <c r="F16" s="93">
        <f>D16/D23*E23</f>
        <v>366307.84341249877</v>
      </c>
      <c r="G16" s="103">
        <f t="shared" si="1"/>
        <v>456326</v>
      </c>
      <c r="H16" s="141">
        <v>98000</v>
      </c>
      <c r="I16" s="93"/>
      <c r="J16" s="93">
        <f>SUM(H16/H23*I23)</f>
        <v>89434.804164600893</v>
      </c>
      <c r="K16" s="103">
        <v>94000</v>
      </c>
      <c r="L16" s="142">
        <v>257000</v>
      </c>
      <c r="M16" s="142">
        <v>9072000</v>
      </c>
      <c r="N16" s="96">
        <f t="shared" si="2"/>
        <v>9329000</v>
      </c>
      <c r="O16" s="72"/>
      <c r="P16" s="93">
        <f>N16/N23*O23</f>
        <v>8750050.5159447324</v>
      </c>
      <c r="Q16" s="53"/>
      <c r="R16" s="141">
        <v>282000</v>
      </c>
      <c r="S16" s="141">
        <v>9254000</v>
      </c>
      <c r="T16" s="52">
        <f t="shared" si="3"/>
        <v>9536000</v>
      </c>
      <c r="U16" s="97">
        <f t="shared" si="4"/>
        <v>9205793.1635218319</v>
      </c>
      <c r="V16" s="97">
        <f t="shared" si="0"/>
        <v>10086326</v>
      </c>
      <c r="W16" s="33">
        <v>859</v>
      </c>
      <c r="X16" s="108">
        <v>56800</v>
      </c>
      <c r="Y16" s="97">
        <f t="shared" si="5"/>
        <v>9262593.1635218319</v>
      </c>
      <c r="Z16" s="99">
        <f>SUM(Y16/W16)/(Y23/W23)</f>
        <v>4.1527640975176796</v>
      </c>
      <c r="AA16" s="13"/>
    </row>
    <row r="17" spans="1:28" x14ac:dyDescent="0.25">
      <c r="A17" s="37">
        <v>7</v>
      </c>
      <c r="B17" s="38" t="s">
        <v>14</v>
      </c>
      <c r="C17" s="103">
        <v>26749</v>
      </c>
      <c r="D17" s="141">
        <v>265431.59999999998</v>
      </c>
      <c r="E17" s="92"/>
      <c r="F17" s="93">
        <f>D17/D23*E23</f>
        <v>294426.2528965153</v>
      </c>
      <c r="G17" s="103">
        <f t="shared" si="1"/>
        <v>347737</v>
      </c>
      <c r="H17" s="141">
        <v>117000</v>
      </c>
      <c r="I17" s="93"/>
      <c r="J17" s="93">
        <f>SUM(H17/H23*I23)</f>
        <v>106774.20497202351</v>
      </c>
      <c r="K17" s="103">
        <v>102000</v>
      </c>
      <c r="L17" s="142">
        <v>388000</v>
      </c>
      <c r="M17" s="142">
        <v>68000</v>
      </c>
      <c r="N17" s="96">
        <f t="shared" si="2"/>
        <v>456000</v>
      </c>
      <c r="O17" s="72"/>
      <c r="P17" s="93">
        <f>N17/N23*O23</f>
        <v>427701.04354923335</v>
      </c>
      <c r="Q17" s="53"/>
      <c r="R17" s="141">
        <v>436000</v>
      </c>
      <c r="S17" s="141">
        <v>69000</v>
      </c>
      <c r="T17" s="52">
        <f t="shared" si="3"/>
        <v>505000</v>
      </c>
      <c r="U17" s="97">
        <f t="shared" si="4"/>
        <v>828901.50141777215</v>
      </c>
      <c r="V17" s="97">
        <f t="shared" si="0"/>
        <v>954737</v>
      </c>
      <c r="W17" s="33">
        <v>996</v>
      </c>
      <c r="X17" s="108">
        <v>65870</v>
      </c>
      <c r="Y17" s="97">
        <f t="shared" si="5"/>
        <v>894771.50141777215</v>
      </c>
      <c r="Z17" s="99">
        <f>SUM(Y17/W17)/(Y23/W23)</f>
        <v>0.34597971833624352</v>
      </c>
      <c r="AA17" s="13"/>
    </row>
    <row r="18" spans="1:28" x14ac:dyDescent="0.25">
      <c r="A18" s="37">
        <v>8</v>
      </c>
      <c r="B18" s="38" t="s">
        <v>15</v>
      </c>
      <c r="C18" s="103">
        <v>253257</v>
      </c>
      <c r="D18" s="141">
        <v>2577003.7999999998</v>
      </c>
      <c r="E18" s="92"/>
      <c r="F18" s="93">
        <f>D18/D23*E23</f>
        <v>2858505.0632030284</v>
      </c>
      <c r="G18" s="103">
        <f t="shared" si="1"/>
        <v>3292341</v>
      </c>
      <c r="H18" s="141">
        <v>228000</v>
      </c>
      <c r="I18" s="93"/>
      <c r="J18" s="93">
        <f>SUM(H18/H23*I23)</f>
        <v>208072.80968907147</v>
      </c>
      <c r="K18" s="103">
        <v>198000</v>
      </c>
      <c r="L18" s="142">
        <v>502000</v>
      </c>
      <c r="M18" s="142">
        <v>356000</v>
      </c>
      <c r="N18" s="96">
        <f t="shared" si="2"/>
        <v>858000</v>
      </c>
      <c r="O18" s="72"/>
      <c r="P18" s="93">
        <f>N18/N23*O23</f>
        <v>804753.2793097418</v>
      </c>
      <c r="Q18" s="53"/>
      <c r="R18" s="141">
        <v>580000</v>
      </c>
      <c r="S18" s="141">
        <v>363000</v>
      </c>
      <c r="T18" s="52">
        <f t="shared" si="3"/>
        <v>943000</v>
      </c>
      <c r="U18" s="97">
        <f t="shared" si="4"/>
        <v>3871331.1522018416</v>
      </c>
      <c r="V18" s="97">
        <f t="shared" si="0"/>
        <v>4433341</v>
      </c>
      <c r="W18" s="33">
        <v>1396</v>
      </c>
      <c r="X18" s="108">
        <v>92320</v>
      </c>
      <c r="Y18" s="97">
        <f t="shared" si="5"/>
        <v>3963651.1522018416</v>
      </c>
      <c r="Z18" s="99">
        <f>SUM(Y18/W18)/(Y23/W23)</f>
        <v>1.0934724414696706</v>
      </c>
      <c r="AA18" s="13"/>
    </row>
    <row r="19" spans="1:28" x14ac:dyDescent="0.25">
      <c r="A19" s="37">
        <v>9</v>
      </c>
      <c r="B19" s="38" t="s">
        <v>16</v>
      </c>
      <c r="C19" s="103">
        <v>34167</v>
      </c>
      <c r="D19" s="141">
        <v>351445.8</v>
      </c>
      <c r="E19" s="92"/>
      <c r="F19" s="93">
        <f>D19/D23*E23</f>
        <v>389836.28923691885</v>
      </c>
      <c r="G19" s="103">
        <f t="shared" si="1"/>
        <v>444171</v>
      </c>
      <c r="H19" s="141">
        <v>217000</v>
      </c>
      <c r="I19" s="93"/>
      <c r="J19" s="93">
        <f>SUM(H19/H23*I23)</f>
        <v>198034.20922161627</v>
      </c>
      <c r="K19" s="103">
        <v>196000</v>
      </c>
      <c r="L19" s="142">
        <v>563000</v>
      </c>
      <c r="M19" s="142">
        <v>185000</v>
      </c>
      <c r="N19" s="96">
        <f t="shared" si="2"/>
        <v>748000</v>
      </c>
      <c r="O19" s="72"/>
      <c r="P19" s="93">
        <f>N19/N23*O23</f>
        <v>701579.78196233895</v>
      </c>
      <c r="Q19" s="53"/>
      <c r="R19" s="141">
        <v>655000</v>
      </c>
      <c r="S19" s="141">
        <v>189000</v>
      </c>
      <c r="T19" s="52">
        <f t="shared" si="3"/>
        <v>844000</v>
      </c>
      <c r="U19" s="97">
        <f t="shared" si="4"/>
        <v>1289450.2804208742</v>
      </c>
      <c r="V19" s="97">
        <f t="shared" si="0"/>
        <v>1484171</v>
      </c>
      <c r="W19" s="33">
        <v>1741</v>
      </c>
      <c r="X19" s="108">
        <v>115140</v>
      </c>
      <c r="Y19" s="97">
        <f t="shared" si="5"/>
        <v>1404590.2804208742</v>
      </c>
      <c r="Z19" s="99">
        <f>SUM(Y19/W19)/(Y23/W23)</f>
        <v>0.31070534443159231</v>
      </c>
      <c r="AA19" s="13"/>
    </row>
    <row r="20" spans="1:28" x14ac:dyDescent="0.25">
      <c r="A20" s="37">
        <v>10</v>
      </c>
      <c r="B20" s="38" t="s">
        <v>17</v>
      </c>
      <c r="C20" s="103">
        <v>121829</v>
      </c>
      <c r="D20" s="141">
        <v>1563463.8</v>
      </c>
      <c r="E20" s="92"/>
      <c r="F20" s="93">
        <f>D20/D23*E23</f>
        <v>1734250.1351510026</v>
      </c>
      <c r="G20" s="103">
        <f t="shared" si="1"/>
        <v>1583777</v>
      </c>
      <c r="H20" s="141">
        <v>269000</v>
      </c>
      <c r="I20" s="93"/>
      <c r="J20" s="93">
        <f>SUM(H20/H23*I23)</f>
        <v>245489.41143140447</v>
      </c>
      <c r="K20" s="103">
        <v>235000</v>
      </c>
      <c r="L20" s="142">
        <v>492000</v>
      </c>
      <c r="M20" s="142">
        <v>295000</v>
      </c>
      <c r="N20" s="96">
        <f t="shared" si="2"/>
        <v>787000</v>
      </c>
      <c r="O20" s="72"/>
      <c r="P20" s="93">
        <f>N20/N23*O23</f>
        <v>738159.47647641809</v>
      </c>
      <c r="Q20" s="53"/>
      <c r="R20" s="141">
        <v>610000</v>
      </c>
      <c r="S20" s="141">
        <v>301000</v>
      </c>
      <c r="T20" s="52">
        <f t="shared" si="3"/>
        <v>911000</v>
      </c>
      <c r="U20" s="97">
        <f t="shared" si="4"/>
        <v>2717899.0230588247</v>
      </c>
      <c r="V20" s="97">
        <f t="shared" si="0"/>
        <v>2729777</v>
      </c>
      <c r="W20" s="33">
        <v>1942</v>
      </c>
      <c r="X20" s="108">
        <v>128430</v>
      </c>
      <c r="Y20" s="97">
        <f t="shared" si="5"/>
        <v>2846329.0230588247</v>
      </c>
      <c r="Z20" s="99">
        <f>SUM(Y20/W20)/(Y23/W23)</f>
        <v>0.56446070193394504</v>
      </c>
      <c r="AA20" s="13"/>
    </row>
    <row r="21" spans="1:28" x14ac:dyDescent="0.25">
      <c r="A21" s="37">
        <v>11</v>
      </c>
      <c r="B21" s="38" t="s">
        <v>18</v>
      </c>
      <c r="C21" s="103">
        <v>61759</v>
      </c>
      <c r="D21" s="141">
        <v>473196.79999999999</v>
      </c>
      <c r="E21" s="92"/>
      <c r="F21" s="93">
        <f>D21/D23*E23</f>
        <v>524886.86617050029</v>
      </c>
      <c r="G21" s="103">
        <f t="shared" si="1"/>
        <v>802867</v>
      </c>
      <c r="H21" s="141">
        <v>207000</v>
      </c>
      <c r="I21" s="93"/>
      <c r="J21" s="93">
        <f>SUM(H21/H23*I23)</f>
        <v>188908.20879665698</v>
      </c>
      <c r="K21" s="103">
        <v>191000</v>
      </c>
      <c r="L21" s="142">
        <v>263000</v>
      </c>
      <c r="M21" s="142">
        <v>197000</v>
      </c>
      <c r="N21" s="96">
        <f t="shared" si="2"/>
        <v>460000</v>
      </c>
      <c r="O21" s="72"/>
      <c r="P21" s="93">
        <f>N21/N23*O23</f>
        <v>431452.80708913895</v>
      </c>
      <c r="Q21" s="53"/>
      <c r="R21" s="141">
        <v>319000</v>
      </c>
      <c r="S21" s="141">
        <v>201000</v>
      </c>
      <c r="T21" s="52">
        <f t="shared" si="3"/>
        <v>520000</v>
      </c>
      <c r="U21" s="97">
        <f t="shared" si="4"/>
        <v>1145247.8820562961</v>
      </c>
      <c r="V21" s="97">
        <f t="shared" si="0"/>
        <v>1513867</v>
      </c>
      <c r="W21" s="33">
        <v>1361</v>
      </c>
      <c r="X21" s="108">
        <v>90010</v>
      </c>
      <c r="Y21" s="97">
        <f t="shared" si="5"/>
        <v>1235257.8820562961</v>
      </c>
      <c r="Z21" s="99">
        <f>SUM(Y21/W21)/(Y23/W23)</f>
        <v>0.34954037227936408</v>
      </c>
      <c r="AA21" s="13"/>
    </row>
    <row r="22" spans="1:28" x14ac:dyDescent="0.25">
      <c r="A22" s="37">
        <v>12</v>
      </c>
      <c r="B22" s="38" t="s">
        <v>19</v>
      </c>
      <c r="C22" s="103">
        <v>54128</v>
      </c>
      <c r="D22" s="141">
        <v>775272</v>
      </c>
      <c r="E22" s="92"/>
      <c r="F22" s="93">
        <f>D22/D23*E23</f>
        <v>859959.51475102152</v>
      </c>
      <c r="G22" s="103">
        <f t="shared" si="1"/>
        <v>703664</v>
      </c>
      <c r="H22" s="141">
        <v>346000</v>
      </c>
      <c r="I22" s="93"/>
      <c r="J22" s="93">
        <f>SUM(H22/H23*I23)</f>
        <v>315759.61470359092</v>
      </c>
      <c r="K22" s="103">
        <v>362000</v>
      </c>
      <c r="L22" s="142">
        <v>276000</v>
      </c>
      <c r="M22" s="142">
        <v>136000</v>
      </c>
      <c r="N22" s="96">
        <f t="shared" si="2"/>
        <v>412000</v>
      </c>
      <c r="O22" s="72"/>
      <c r="P22" s="93">
        <f>N22/N23*O23</f>
        <v>386431.64461027225</v>
      </c>
      <c r="Q22" s="53"/>
      <c r="R22" s="141">
        <v>294000</v>
      </c>
      <c r="S22" s="141">
        <v>139000</v>
      </c>
      <c r="T22" s="52">
        <f t="shared" si="3"/>
        <v>433000</v>
      </c>
      <c r="U22" s="97">
        <f t="shared" si="4"/>
        <v>1562150.7740648848</v>
      </c>
      <c r="V22" s="97">
        <f t="shared" si="0"/>
        <v>1498664</v>
      </c>
      <c r="W22" s="33">
        <v>1002</v>
      </c>
      <c r="X22" s="108">
        <v>66300</v>
      </c>
      <c r="Y22" s="97">
        <f t="shared" si="5"/>
        <v>1628450.7740648848</v>
      </c>
      <c r="Z22" s="99">
        <f>SUM(Y22/W22)/(Y23/W23)</f>
        <v>0.62589970852180676</v>
      </c>
      <c r="AA22" s="13"/>
    </row>
    <row r="23" spans="1:28" s="6" customFormat="1" ht="16.5" customHeight="1" x14ac:dyDescent="0.25">
      <c r="A23" s="39"/>
      <c r="B23" s="38" t="s">
        <v>7</v>
      </c>
      <c r="C23" s="91">
        <f>SUM(C11:C22)</f>
        <v>2520538</v>
      </c>
      <c r="D23" s="91">
        <f>SUM(D11:D22)</f>
        <v>29540150.800000001</v>
      </c>
      <c r="E23" s="104">
        <v>32766995</v>
      </c>
      <c r="F23" s="94">
        <f>SUM(F11:F22)</f>
        <v>32766994.999999996</v>
      </c>
      <c r="G23" s="94">
        <f>SUM(G11:G22)</f>
        <v>32766994</v>
      </c>
      <c r="H23" s="94">
        <f t="shared" ref="H23:K23" si="6">SUM(H11:H22)</f>
        <v>14119000</v>
      </c>
      <c r="I23" s="104">
        <v>12885000</v>
      </c>
      <c r="J23" s="94">
        <f t="shared" si="6"/>
        <v>12884999.999999998</v>
      </c>
      <c r="K23" s="94">
        <f t="shared" si="6"/>
        <v>12885000</v>
      </c>
      <c r="L23" s="95">
        <f t="shared" ref="L23:N23" si="7">SUM(L11:L22)</f>
        <v>6295000</v>
      </c>
      <c r="M23" s="95">
        <f t="shared" si="7"/>
        <v>28011000</v>
      </c>
      <c r="N23" s="95">
        <f t="shared" si="7"/>
        <v>34306000</v>
      </c>
      <c r="O23" s="104">
        <v>32177000</v>
      </c>
      <c r="P23" s="94">
        <f t="shared" ref="P23" si="8">SUM(P11:P22)</f>
        <v>32176999.999999996</v>
      </c>
      <c r="Q23" s="53"/>
      <c r="R23" s="91">
        <f t="shared" ref="R23:Y23" si="9">SUM(R11:R22)</f>
        <v>7367000</v>
      </c>
      <c r="S23" s="94">
        <f t="shared" si="9"/>
        <v>24810000</v>
      </c>
      <c r="T23" s="91">
        <f t="shared" si="9"/>
        <v>32177000</v>
      </c>
      <c r="U23" s="94">
        <f>SUM(U11:U22)</f>
        <v>77828995.000000015</v>
      </c>
      <c r="V23" s="94">
        <f t="shared" si="9"/>
        <v>77828994</v>
      </c>
      <c r="W23" s="81">
        <f t="shared" ref="W23" si="10">SUM(W11:W22)</f>
        <v>30757</v>
      </c>
      <c r="X23" s="98">
        <f>SUM(X11:X22)</f>
        <v>2034100</v>
      </c>
      <c r="Y23" s="94">
        <f t="shared" si="9"/>
        <v>79863095</v>
      </c>
      <c r="Z23" s="100">
        <f>SUM(Y23/W23)/(Y23/W23)</f>
        <v>1</v>
      </c>
      <c r="AA23" s="23"/>
      <c r="AB23" s="14"/>
    </row>
    <row r="24" spans="1:28" x14ac:dyDescent="0.25">
      <c r="A24" s="33"/>
      <c r="B24" s="38"/>
      <c r="C24" s="72"/>
      <c r="D24" s="72"/>
      <c r="E24" s="38"/>
      <c r="F24" s="38"/>
      <c r="G24" s="38"/>
      <c r="H24" s="38"/>
      <c r="I24" s="38"/>
      <c r="J24" s="38"/>
      <c r="K24" s="38"/>
      <c r="L24" s="85"/>
      <c r="M24" s="85"/>
      <c r="N24" s="85"/>
      <c r="O24" s="38"/>
      <c r="P24" s="38"/>
      <c r="Q24" s="54"/>
      <c r="R24" s="38"/>
      <c r="S24" s="38"/>
      <c r="T24" s="38"/>
      <c r="U24" s="38"/>
      <c r="V24" s="38"/>
      <c r="W24" s="74"/>
      <c r="X24" s="74"/>
      <c r="Y24" s="74"/>
      <c r="Z24" s="74"/>
    </row>
    <row r="25" spans="1:28" x14ac:dyDescent="0.25">
      <c r="A25" s="33"/>
      <c r="B25" s="38"/>
      <c r="C25" s="72"/>
      <c r="D25" s="72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54"/>
      <c r="R25" s="38"/>
      <c r="S25" s="38"/>
      <c r="T25" s="38"/>
      <c r="U25" s="38"/>
      <c r="V25" s="38"/>
      <c r="W25" s="74"/>
      <c r="X25" s="74"/>
      <c r="Y25" s="74"/>
      <c r="Z25" s="74"/>
    </row>
    <row r="26" spans="1:28" x14ac:dyDescent="0.25">
      <c r="B26" s="5"/>
      <c r="C26" s="15"/>
      <c r="D26" s="15"/>
      <c r="E26" s="5"/>
      <c r="F26" s="5"/>
      <c r="G26" s="63"/>
      <c r="H26" s="5"/>
      <c r="I26" s="5"/>
      <c r="J26" s="5"/>
      <c r="K26" s="5"/>
      <c r="L26" s="75"/>
      <c r="M26" s="75"/>
      <c r="N26" s="75"/>
      <c r="O26" s="5"/>
      <c r="P26" s="5"/>
      <c r="Q26" s="10"/>
      <c r="R26" s="5"/>
      <c r="S26" s="5"/>
      <c r="T26" s="5"/>
      <c r="U26" s="5"/>
      <c r="V26" s="5"/>
      <c r="W26" s="9"/>
      <c r="X26" s="55"/>
      <c r="Y26" s="55"/>
      <c r="Z26" s="55"/>
    </row>
    <row r="27" spans="1:28" x14ac:dyDescent="0.25">
      <c r="C27" s="15"/>
      <c r="D27" s="62"/>
      <c r="E27" s="63"/>
      <c r="F27" s="63"/>
      <c r="G27" s="63"/>
      <c r="H27" s="5"/>
      <c r="I27" s="5"/>
      <c r="J27" s="5"/>
      <c r="K27" s="63"/>
      <c r="L27" s="63"/>
      <c r="M27" s="63"/>
      <c r="N27" s="63"/>
      <c r="O27" s="63"/>
      <c r="P27" s="63"/>
      <c r="Q27" s="10"/>
      <c r="R27" s="63"/>
      <c r="S27" s="63"/>
      <c r="T27" s="63"/>
      <c r="U27" s="63"/>
      <c r="V27" s="63"/>
      <c r="W27" s="9"/>
      <c r="X27" s="9"/>
      <c r="Y27" s="9"/>
      <c r="Z27" s="9"/>
    </row>
    <row r="28" spans="1:28" x14ac:dyDescent="0.25">
      <c r="R28" s="63"/>
      <c r="S28" s="63"/>
      <c r="T28" s="63"/>
      <c r="U28" s="63"/>
      <c r="V28" s="63"/>
      <c r="W28" s="9"/>
      <c r="X28" s="9"/>
      <c r="Y28" s="9"/>
      <c r="Z28" s="9"/>
    </row>
    <row r="29" spans="1:28" x14ac:dyDescent="0.25">
      <c r="W29" s="9"/>
      <c r="X29" s="9"/>
      <c r="Y29" s="9"/>
      <c r="Z29" s="9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opLeftCell="A10" zoomScaleNormal="100" workbookViewId="0">
      <selection activeCell="I9" sqref="I9"/>
    </sheetView>
  </sheetViews>
  <sheetFormatPr defaultRowHeight="15" x14ac:dyDescent="0.25"/>
  <cols>
    <col min="1" max="1" width="23" style="1" customWidth="1"/>
    <col min="2" max="2" width="13.140625" style="1" customWidth="1"/>
    <col min="3" max="3" width="12.28515625" style="1" customWidth="1"/>
    <col min="4" max="4" width="11.140625" style="1" customWidth="1"/>
    <col min="5" max="5" width="10.28515625" style="1" customWidth="1"/>
    <col min="6" max="6" width="13.140625" style="1" customWidth="1"/>
    <col min="7" max="8" width="9.85546875" style="1" customWidth="1"/>
    <col min="9" max="9" width="9.7109375" style="1" bestFit="1" customWidth="1"/>
    <col min="10" max="10" width="13.7109375" style="1" customWidth="1"/>
    <col min="11" max="11" width="14.42578125" style="1" customWidth="1"/>
    <col min="12" max="12" width="17.28515625" style="1" customWidth="1"/>
    <col min="13" max="13" width="11.7109375" style="1" customWidth="1"/>
    <col min="14" max="14" width="16.7109375" style="1" customWidth="1"/>
    <col min="15" max="15" width="20.28515625" style="1" customWidth="1"/>
    <col min="16" max="16384" width="9.140625" style="1"/>
  </cols>
  <sheetData>
    <row r="1" spans="1:15" s="24" customFormat="1" x14ac:dyDescent="0.25"/>
    <row r="2" spans="1:15" s="24" customFormat="1" ht="18.75" x14ac:dyDescent="0.3">
      <c r="B2" s="43" t="s">
        <v>86</v>
      </c>
      <c r="C2" s="43"/>
      <c r="D2" s="43"/>
      <c r="E2" s="43"/>
      <c r="F2" s="43"/>
    </row>
    <row r="3" spans="1:15" s="24" customFormat="1" x14ac:dyDescent="0.25"/>
    <row r="4" spans="1:15" s="24" customFormat="1" x14ac:dyDescent="0.25">
      <c r="O4" s="44" t="s">
        <v>70</v>
      </c>
    </row>
    <row r="5" spans="1:15" s="24" customFormat="1" ht="15" customHeight="1" x14ac:dyDescent="0.25">
      <c r="A5" s="113"/>
      <c r="B5" s="124" t="s">
        <v>0</v>
      </c>
      <c r="C5" s="126" t="s">
        <v>1</v>
      </c>
      <c r="D5" s="127"/>
      <c r="E5" s="126" t="s">
        <v>20</v>
      </c>
      <c r="F5" s="127"/>
      <c r="G5" s="126" t="s">
        <v>2</v>
      </c>
      <c r="H5" s="128"/>
      <c r="I5" s="128"/>
      <c r="J5" s="127"/>
      <c r="K5" s="123" t="s">
        <v>56</v>
      </c>
      <c r="L5" s="123"/>
      <c r="M5" s="123"/>
      <c r="N5" s="123"/>
      <c r="O5" s="111" t="s">
        <v>61</v>
      </c>
    </row>
    <row r="6" spans="1:15" s="49" customFormat="1" ht="114.75" customHeight="1" x14ac:dyDescent="0.25">
      <c r="A6" s="114"/>
      <c r="B6" s="125"/>
      <c r="C6" s="45" t="s">
        <v>3</v>
      </c>
      <c r="D6" s="45" t="s">
        <v>4</v>
      </c>
      <c r="E6" s="46" t="s">
        <v>22</v>
      </c>
      <c r="F6" s="46" t="s">
        <v>21</v>
      </c>
      <c r="G6" s="47" t="s">
        <v>5</v>
      </c>
      <c r="H6" s="47" t="s">
        <v>6</v>
      </c>
      <c r="I6" s="47" t="s">
        <v>27</v>
      </c>
      <c r="J6" s="47" t="s">
        <v>23</v>
      </c>
      <c r="K6" s="48" t="s">
        <v>52</v>
      </c>
      <c r="L6" s="48" t="s">
        <v>53</v>
      </c>
      <c r="M6" s="48" t="s">
        <v>54</v>
      </c>
      <c r="N6" s="48" t="s">
        <v>55</v>
      </c>
      <c r="O6" s="111"/>
    </row>
    <row r="7" spans="1:15" s="84" customFormat="1" ht="27.75" customHeight="1" x14ac:dyDescent="0.25">
      <c r="A7" s="82"/>
      <c r="B7" s="78"/>
      <c r="C7" s="45"/>
      <c r="D7" s="45"/>
      <c r="E7" s="42"/>
      <c r="F7" s="77"/>
      <c r="G7" s="47"/>
      <c r="H7" s="47"/>
      <c r="I7" s="47"/>
      <c r="J7" s="47"/>
      <c r="K7" s="83"/>
      <c r="L7" s="83"/>
      <c r="M7" s="42"/>
      <c r="N7" s="42"/>
      <c r="O7" s="42"/>
    </row>
    <row r="8" spans="1:15" s="84" customFormat="1" x14ac:dyDescent="0.25">
      <c r="A8" s="42"/>
      <c r="B8" s="42">
        <v>1</v>
      </c>
      <c r="C8" s="42">
        <v>2</v>
      </c>
      <c r="D8" s="42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42">
        <v>13</v>
      </c>
      <c r="O8" s="42">
        <v>14</v>
      </c>
    </row>
    <row r="9" spans="1:15" s="12" customFormat="1" ht="92.25" customHeight="1" x14ac:dyDescent="0.25">
      <c r="A9" s="70"/>
      <c r="B9" s="70"/>
      <c r="C9" s="70"/>
      <c r="D9" s="70"/>
      <c r="E9" s="70"/>
      <c r="F9" s="70"/>
      <c r="G9" s="145" t="s">
        <v>85</v>
      </c>
      <c r="H9" s="145" t="s">
        <v>24</v>
      </c>
      <c r="I9" s="145" t="s">
        <v>25</v>
      </c>
      <c r="J9" s="145" t="s">
        <v>26</v>
      </c>
      <c r="K9" s="70" t="s">
        <v>57</v>
      </c>
      <c r="L9" s="70" t="s">
        <v>58</v>
      </c>
      <c r="M9" s="70" t="s">
        <v>59</v>
      </c>
      <c r="N9" s="70" t="s">
        <v>60</v>
      </c>
      <c r="O9" s="70" t="s">
        <v>73</v>
      </c>
    </row>
    <row r="10" spans="1:15" s="5" customFormat="1" x14ac:dyDescent="0.25">
      <c r="A10" s="50" t="s">
        <v>8</v>
      </c>
      <c r="B10" s="129">
        <v>16735</v>
      </c>
      <c r="C10" s="50">
        <v>281</v>
      </c>
      <c r="D10" s="50">
        <v>13661</v>
      </c>
      <c r="E10" s="50">
        <v>2798.28</v>
      </c>
      <c r="F10" s="50">
        <v>49.64</v>
      </c>
      <c r="G10" s="146">
        <f>0.6+0.4*(B22/12)/B10</f>
        <v>0.66126282242804502</v>
      </c>
      <c r="H10" s="146">
        <f>SUM(C10/B10+1)</f>
        <v>1.0167911562593368</v>
      </c>
      <c r="I10" s="146">
        <f>SUM(D10/B10+1)</f>
        <v>1.8163131162234838</v>
      </c>
      <c r="J10" s="50">
        <f>0.9+0.1*(0.8*E10/E22+0.2*F10/F22)</f>
        <v>1</v>
      </c>
      <c r="K10" s="146">
        <f>SUM(B10*G10/B10)/(B22*G22/B22)</f>
        <v>0.66126282242804502</v>
      </c>
      <c r="L10" s="146">
        <f>SUM(B10*G10*J10/B10)/(B22*G22*J22/B22)</f>
        <v>0.66126282242804502</v>
      </c>
      <c r="M10" s="146">
        <f xml:space="preserve"> SUM(B10*G10*J10/B10)/(B22*G22*J22/B22)</f>
        <v>0.66126282242804502</v>
      </c>
      <c r="N10" s="146">
        <f>SUM(B10*H10*I10/B10)/(B22*H22*I22/B22)</f>
        <v>1.1975547602747518</v>
      </c>
      <c r="O10" s="90">
        <f>SUM(K10*0.235+L10*0.18+M10*0.065+N10*0.52)</f>
        <v>0.94013463010833265</v>
      </c>
    </row>
    <row r="11" spans="1:15" s="5" customFormat="1" x14ac:dyDescent="0.25">
      <c r="A11" s="50" t="s">
        <v>9</v>
      </c>
      <c r="B11" s="129">
        <v>975</v>
      </c>
      <c r="C11" s="50">
        <v>0</v>
      </c>
      <c r="D11" s="50"/>
      <c r="E11" s="50">
        <v>2798.28</v>
      </c>
      <c r="F11" s="50">
        <v>49.64</v>
      </c>
      <c r="G11" s="146">
        <f>0.6+0.4*(B22/12)/B11</f>
        <v>1.6515213675213674</v>
      </c>
      <c r="H11" s="146">
        <f t="shared" ref="H11:H22" si="0">SUM(C11/B11+1)</f>
        <v>1</v>
      </c>
      <c r="I11" s="146">
        <v>1</v>
      </c>
      <c r="J11" s="50">
        <f>0.9+0.1*(0.8*E11/E22+0.2*F11/F22)</f>
        <v>1</v>
      </c>
      <c r="K11" s="146">
        <f>SUM(B11*G11/B11)/(B22*G22/B22)</f>
        <v>1.6515213675213674</v>
      </c>
      <c r="L11" s="146">
        <f>SUM(B11*G11*J11/B11)/(B22*G22*J22/B22)</f>
        <v>1.6515213675213674</v>
      </c>
      <c r="M11" s="146">
        <f xml:space="preserve"> SUM(B11*G11*J11/B11)/(B22*G22*J22/B22)</f>
        <v>1.6515213675213674</v>
      </c>
      <c r="N11" s="146">
        <f>SUM(B11*H11*I11/B11)/(B22*H22*I22/B22)</f>
        <v>0.64844463598515578</v>
      </c>
      <c r="O11" s="90">
        <f t="shared" ref="O11:O22" si="1">SUM(K11*0.235+L11*0.18+M11*0.065+N11*0.52)</f>
        <v>1.1299214671225373</v>
      </c>
    </row>
    <row r="12" spans="1:15" s="5" customFormat="1" x14ac:dyDescent="0.25">
      <c r="A12" s="50" t="s">
        <v>10</v>
      </c>
      <c r="B12" s="129">
        <v>1121</v>
      </c>
      <c r="C12" s="50">
        <v>270</v>
      </c>
      <c r="D12" s="50"/>
      <c r="E12" s="50">
        <v>2798.28</v>
      </c>
      <c r="F12" s="50">
        <v>49.64</v>
      </c>
      <c r="G12" s="146">
        <f>0.6+0.4*(B22/12)/B12</f>
        <v>1.5145703241153732</v>
      </c>
      <c r="H12" s="146">
        <f t="shared" si="0"/>
        <v>1.2408563782337199</v>
      </c>
      <c r="I12" s="146">
        <v>1</v>
      </c>
      <c r="J12" s="50">
        <f>0.9+0.1*(0.8*E12/E22+0.2*F12/F22)</f>
        <v>1</v>
      </c>
      <c r="K12" s="146">
        <f>SUM(B12*G12/B12)/(B22*G22/B22)</f>
        <v>1.5145703241153732</v>
      </c>
      <c r="L12" s="146">
        <f>SUM(B12*G12*J12/B12)/(B22*G22*J22/B22)</f>
        <v>1.5145703241153732</v>
      </c>
      <c r="M12" s="146">
        <f xml:space="preserve"> SUM(B12*G12*J12/B12)/(B22*G22*J22/B22)</f>
        <v>1.5145703241153732</v>
      </c>
      <c r="N12" s="146">
        <f>SUM(B12*H12*I12/B12)/(B22*H22*I22/B22)</f>
        <v>0.80462666249362336</v>
      </c>
      <c r="O12" s="90">
        <f t="shared" si="1"/>
        <v>1.1453996200720633</v>
      </c>
    </row>
    <row r="13" spans="1:15" s="5" customFormat="1" x14ac:dyDescent="0.25">
      <c r="A13" s="50" t="s">
        <v>11</v>
      </c>
      <c r="B13" s="129">
        <v>1238</v>
      </c>
      <c r="C13" s="50">
        <v>576</v>
      </c>
      <c r="D13" s="50"/>
      <c r="E13" s="50">
        <v>2798.28</v>
      </c>
      <c r="F13" s="50">
        <v>49.64</v>
      </c>
      <c r="G13" s="146">
        <f>0.6+0.4*(B22/12)/B13</f>
        <v>1.4281367797522886</v>
      </c>
      <c r="H13" s="146">
        <f t="shared" si="0"/>
        <v>1.4652665589660743</v>
      </c>
      <c r="I13" s="146">
        <v>1</v>
      </c>
      <c r="J13" s="50">
        <f>0.9+0.1*(0.8*E13/E22+0.2*F13/F22)</f>
        <v>1</v>
      </c>
      <c r="K13" s="146">
        <f>SUM(B13*G13/B13)/(B22*G22/B22)</f>
        <v>1.4281367797522886</v>
      </c>
      <c r="L13" s="146">
        <f>SUM(B13*G13*J13/B13)/(B22*G22*J22/B22)</f>
        <v>1.4281367797522886</v>
      </c>
      <c r="M13" s="146">
        <f xml:space="preserve"> SUM(B13*G13*J13/B13)/(B22*G22*J22/B22)</f>
        <v>1.4281367797522886</v>
      </c>
      <c r="N13" s="146">
        <f>SUM(B13*H13*I13/B13)/(B22*H22*I22/B22)</f>
        <v>0.95014424044997792</v>
      </c>
      <c r="O13" s="90">
        <f t="shared" si="1"/>
        <v>1.179580659315087</v>
      </c>
    </row>
    <row r="14" spans="1:15" s="5" customFormat="1" x14ac:dyDescent="0.25">
      <c r="A14" s="50" t="s">
        <v>12</v>
      </c>
      <c r="B14" s="129">
        <v>1391</v>
      </c>
      <c r="C14" s="50">
        <v>32</v>
      </c>
      <c r="D14" s="50"/>
      <c r="E14" s="50">
        <v>2798.28</v>
      </c>
      <c r="F14" s="50">
        <v>49.64</v>
      </c>
      <c r="G14" s="146">
        <f>0.6+0.4*(B22/12)/B14</f>
        <v>1.3370476875149773</v>
      </c>
      <c r="H14" s="146">
        <f t="shared" si="0"/>
        <v>1.0230050323508268</v>
      </c>
      <c r="I14" s="146">
        <v>1</v>
      </c>
      <c r="J14" s="50">
        <f>0.9+0.1*(0.8*E14/E22+0.2*F14/F22)</f>
        <v>1</v>
      </c>
      <c r="K14" s="146">
        <f>SUM(B14*G14/B14)/(B22*G22/B22)</f>
        <v>1.3370476875149773</v>
      </c>
      <c r="L14" s="146">
        <f>SUM(B14*G14*J14/B14)/(B22*G22*J22/B22)</f>
        <v>1.3370476875149773</v>
      </c>
      <c r="M14" s="146">
        <f xml:space="preserve"> SUM(B14*G14*J14/B14)/(B22*G22*J22/B22)</f>
        <v>1.3370476875149773</v>
      </c>
      <c r="N14" s="146">
        <f>SUM(B14*H14*I14/B14)/(B22*H22*I22/B22)</f>
        <v>0.66336212581371445</v>
      </c>
      <c r="O14" s="90">
        <f t="shared" si="1"/>
        <v>0.98673119543032062</v>
      </c>
    </row>
    <row r="15" spans="1:15" s="5" customFormat="1" x14ac:dyDescent="0.25">
      <c r="A15" s="50" t="s">
        <v>13</v>
      </c>
      <c r="B15" s="129">
        <v>859</v>
      </c>
      <c r="C15" s="50">
        <v>35</v>
      </c>
      <c r="D15" s="50"/>
      <c r="E15" s="50">
        <v>2798.28</v>
      </c>
      <c r="F15" s="50">
        <v>49.64</v>
      </c>
      <c r="G15" s="146">
        <f>0.6+0.4*(B22/12)/B15</f>
        <v>1.7935195964299573</v>
      </c>
      <c r="H15" s="146">
        <f t="shared" si="0"/>
        <v>1.0407450523864958</v>
      </c>
      <c r="I15" s="146">
        <v>1</v>
      </c>
      <c r="J15" s="50">
        <f>0.9+0.1*(0.8*E15/E22+0.2*F15/F22)</f>
        <v>1</v>
      </c>
      <c r="K15" s="146">
        <f>SUM(B15*G15/B15)/(B22*G22/B22)</f>
        <v>1.7935195964299571</v>
      </c>
      <c r="L15" s="146">
        <f>SUM(B15*G15*J15/B15)/(B22*G22*J22/B22)</f>
        <v>1.7935195964299571</v>
      </c>
      <c r="M15" s="146">
        <f xml:space="preserve"> SUM(B15*G15*J15/B15)/(B22*G22*J22/B22)</f>
        <v>1.7935195964299571</v>
      </c>
      <c r="N15" s="146">
        <f>SUM(B15*H15*I15/B15)/(B22*H22*I22/B22)</f>
        <v>0.67486554664811327</v>
      </c>
      <c r="O15" s="90">
        <f t="shared" si="1"/>
        <v>1.2118194905433983</v>
      </c>
    </row>
    <row r="16" spans="1:15" s="5" customFormat="1" x14ac:dyDescent="0.25">
      <c r="A16" s="50" t="s">
        <v>14</v>
      </c>
      <c r="B16" s="129">
        <v>996</v>
      </c>
      <c r="C16" s="50">
        <v>210</v>
      </c>
      <c r="D16" s="50"/>
      <c r="E16" s="50">
        <v>2798.28</v>
      </c>
      <c r="F16" s="50">
        <v>49.64</v>
      </c>
      <c r="G16" s="146">
        <f>0.6+0.4*(B22/12)/B16</f>
        <v>1.6293507362784472</v>
      </c>
      <c r="H16" s="146">
        <f t="shared" si="0"/>
        <v>1.2108433734939759</v>
      </c>
      <c r="I16" s="146">
        <v>1</v>
      </c>
      <c r="J16" s="50">
        <f>0.9+0.1*(0.8*E16/E22+0.2*F16/F22)</f>
        <v>1</v>
      </c>
      <c r="K16" s="146">
        <f>SUM(B16*G16/B16)/(B22*G22/B22)</f>
        <v>1.6293507362784472</v>
      </c>
      <c r="L16" s="146">
        <f>SUM(B16*G16*J16/B16)/(B22*G22*J22/B22)</f>
        <v>1.6293507362784472</v>
      </c>
      <c r="M16" s="146">
        <f xml:space="preserve"> SUM(B16*G16*J16/B16)/(B22*G22*J22/B22)</f>
        <v>1.6293507362784472</v>
      </c>
      <c r="N16" s="146">
        <f>SUM(B16*H16*I16/B16)/(B22*H22*I22/B22)</f>
        <v>0.78516489056033922</v>
      </c>
      <c r="O16" s="90">
        <f t="shared" si="1"/>
        <v>1.1903740965050311</v>
      </c>
    </row>
    <row r="17" spans="1:15" s="5" customFormat="1" x14ac:dyDescent="0.25">
      <c r="A17" s="50" t="s">
        <v>15</v>
      </c>
      <c r="B17" s="129">
        <v>1396</v>
      </c>
      <c r="C17" s="50">
        <v>124</v>
      </c>
      <c r="D17" s="50"/>
      <c r="E17" s="50">
        <v>2798.28</v>
      </c>
      <c r="F17" s="50">
        <v>49.64</v>
      </c>
      <c r="G17" s="146">
        <f>0.6+0.4*(B22/12)/B17</f>
        <v>1.3344078319006685</v>
      </c>
      <c r="H17" s="146">
        <f t="shared" si="0"/>
        <v>1.0888252148997135</v>
      </c>
      <c r="I17" s="146">
        <v>1</v>
      </c>
      <c r="J17" s="50">
        <f>0.9+0.1*(0.8*E17/E22+0.2*F17/F22)</f>
        <v>1</v>
      </c>
      <c r="K17" s="146">
        <f>SUM(B17*G17/B17)/(B22*G22/B22)</f>
        <v>1.3344078319006685</v>
      </c>
      <c r="L17" s="146">
        <f>SUM(B17*G17*J17/B17)/(B22*G22*J22/B22)</f>
        <v>1.3344078319006685</v>
      </c>
      <c r="M17" s="146">
        <f xml:space="preserve"> SUM(B17*G17*J17/B17)/(B22*G22*J22/B22)</f>
        <v>1.3344078319006685</v>
      </c>
      <c r="N17" s="146">
        <f>SUM(B17*H17*I17/B17)/(B22*H22*I22/B22)</f>
        <v>0.70604287012710376</v>
      </c>
      <c r="O17" s="90">
        <f t="shared" si="1"/>
        <v>1.0076580517784148</v>
      </c>
    </row>
    <row r="18" spans="1:15" s="5" customFormat="1" x14ac:dyDescent="0.25">
      <c r="A18" s="50" t="s">
        <v>16</v>
      </c>
      <c r="B18" s="129">
        <v>1741</v>
      </c>
      <c r="C18" s="50">
        <v>535</v>
      </c>
      <c r="D18" s="50"/>
      <c r="E18" s="50">
        <v>2798.28</v>
      </c>
      <c r="F18" s="50">
        <v>49.64</v>
      </c>
      <c r="G18" s="146">
        <f>0.6+0.4*(B22/12)/B18</f>
        <v>1.1888761248324717</v>
      </c>
      <c r="H18" s="146">
        <f t="shared" si="0"/>
        <v>1.3072946582423894</v>
      </c>
      <c r="I18" s="146">
        <v>1</v>
      </c>
      <c r="J18" s="50">
        <f>0.9+0.1*(0.8*E18/E22+0.2*F18/F22)</f>
        <v>1</v>
      </c>
      <c r="K18" s="146">
        <f>SUM(B18*G18/B18)/(B22*G22/B22)</f>
        <v>1.1888761248324717</v>
      </c>
      <c r="L18" s="146">
        <f>SUM(B18*G18*J18/B18)/(B22*G22*J22/B22)</f>
        <v>1.1888761248324717</v>
      </c>
      <c r="M18" s="146">
        <f xml:space="preserve"> SUM(B18*G18*J18/B18)/(B22*G22*J22/B22)</f>
        <v>1.1888761248324717</v>
      </c>
      <c r="N18" s="146">
        <f>SUM(B18*H18*I18/B18)/(B22*H22*I22/B22)</f>
        <v>0.84770820878932496</v>
      </c>
      <c r="O18" s="90">
        <f t="shared" si="1"/>
        <v>1.0114688084900354</v>
      </c>
    </row>
    <row r="19" spans="1:15" s="5" customFormat="1" x14ac:dyDescent="0.25">
      <c r="A19" s="50" t="s">
        <v>17</v>
      </c>
      <c r="B19" s="129">
        <v>1942</v>
      </c>
      <c r="C19" s="50">
        <v>0</v>
      </c>
      <c r="D19" s="50"/>
      <c r="E19" s="50">
        <v>2798.28</v>
      </c>
      <c r="F19" s="50">
        <v>49.64</v>
      </c>
      <c r="G19" s="146">
        <f>0.6+0.4*(B22/12)/B19</f>
        <v>1.1279265362169584</v>
      </c>
      <c r="H19" s="146">
        <f t="shared" si="0"/>
        <v>1</v>
      </c>
      <c r="I19" s="146">
        <v>1</v>
      </c>
      <c r="J19" s="50">
        <f>0.9+0.1*(0.8*E19/E22+0.2*F19/F22)</f>
        <v>1</v>
      </c>
      <c r="K19" s="146">
        <f>SUM(B19*G19/B19)/(B22*G22/B22)</f>
        <v>1.1279265362169582</v>
      </c>
      <c r="L19" s="146">
        <f>SUM(B19*G19*J19/B19)/(B22*G22*J22/B22)</f>
        <v>1.1279265362169582</v>
      </c>
      <c r="M19" s="146">
        <f xml:space="preserve"> SUM(B19*G19*J19/B19)/(B22*G22*J22/B22)</f>
        <v>1.1279265362169582</v>
      </c>
      <c r="N19" s="146">
        <f>SUM(B19*H19*I19/B19)/(B22*H22*I22/B22)</f>
        <v>0.64844463598515578</v>
      </c>
      <c r="O19" s="90">
        <f t="shared" si="1"/>
        <v>0.87859594809642094</v>
      </c>
    </row>
    <row r="20" spans="1:15" s="5" customFormat="1" x14ac:dyDescent="0.25">
      <c r="A20" s="50" t="s">
        <v>18</v>
      </c>
      <c r="B20" s="129">
        <v>1361</v>
      </c>
      <c r="C20" s="50">
        <v>6</v>
      </c>
      <c r="D20" s="50"/>
      <c r="E20" s="50">
        <v>2798.28</v>
      </c>
      <c r="F20" s="50">
        <v>49.64</v>
      </c>
      <c r="G20" s="146">
        <f>0.6+0.4*(B22/12)/B20</f>
        <v>1.3532941464609356</v>
      </c>
      <c r="H20" s="146">
        <f t="shared" si="0"/>
        <v>1.0044085231447466</v>
      </c>
      <c r="I20" s="146">
        <v>1</v>
      </c>
      <c r="J20" s="50">
        <f>0.9+0.1*(0.8*E20/E22+0.2*F20/F22)</f>
        <v>1</v>
      </c>
      <c r="K20" s="146">
        <f>SUM(B20*G20/B20)/(B22*G22/B22)</f>
        <v>1.3532941464609356</v>
      </c>
      <c r="L20" s="146">
        <f>SUM(B20*G20*J20/B20)/(B22*G22*J22/B22)</f>
        <v>1.3532941464609356</v>
      </c>
      <c r="M20" s="146">
        <f xml:space="preserve"> SUM(B20*G20*J20/B20)/(B22*G22*J22/B22)</f>
        <v>1.3532941464609356</v>
      </c>
      <c r="N20" s="146">
        <f>SUM(B20*H20*I20/B20)/(B22*H22*I22/B22)</f>
        <v>0.65130331917098316</v>
      </c>
      <c r="O20" s="90">
        <f t="shared" si="1"/>
        <v>0.98825891627016027</v>
      </c>
    </row>
    <row r="21" spans="1:15" s="5" customFormat="1" x14ac:dyDescent="0.25">
      <c r="A21" s="50" t="s">
        <v>19</v>
      </c>
      <c r="B21" s="129">
        <v>1002</v>
      </c>
      <c r="C21" s="50">
        <v>18</v>
      </c>
      <c r="D21" s="50"/>
      <c r="E21" s="50">
        <v>2798.28</v>
      </c>
      <c r="F21" s="50">
        <v>49.64</v>
      </c>
      <c r="G21" s="146">
        <f>0.6+0.4*(B22/12)/B21</f>
        <v>1.6231869594145043</v>
      </c>
      <c r="H21" s="146">
        <f t="shared" si="0"/>
        <v>1.0179640718562875</v>
      </c>
      <c r="I21" s="146">
        <v>1</v>
      </c>
      <c r="J21" s="50">
        <f>0.9+0.1*(0.8*E21/E22+0.2*F21/F22)</f>
        <v>1</v>
      </c>
      <c r="K21" s="146">
        <f>SUM(B21*G21/B21)/(B22*G22/B22)</f>
        <v>1.6231869594145043</v>
      </c>
      <c r="L21" s="146">
        <f>SUM(B21*G21*J21/B21)/(B22*G22*J22/B22)</f>
        <v>1.6231869594145043</v>
      </c>
      <c r="M21" s="146">
        <f xml:space="preserve"> SUM(B21*G21*J21/B21)/(B22*G22*J22/B22)</f>
        <v>1.6231869594145043</v>
      </c>
      <c r="N21" s="146">
        <f>SUM(B21*H21*I21/B21)/(B22*H22*I22/B22)</f>
        <v>0.66009334202081738</v>
      </c>
      <c r="O21" s="90">
        <f t="shared" si="1"/>
        <v>1.1223782783697871</v>
      </c>
    </row>
    <row r="22" spans="1:15" s="14" customFormat="1" ht="16.5" customHeight="1" x14ac:dyDescent="0.25">
      <c r="A22" s="50" t="s">
        <v>7</v>
      </c>
      <c r="B22" s="86">
        <f t="shared" ref="B22:D22" si="2">SUM(B10:B21)</f>
        <v>30757</v>
      </c>
      <c r="C22" s="86">
        <f t="shared" si="2"/>
        <v>2087</v>
      </c>
      <c r="D22" s="86">
        <f t="shared" si="2"/>
        <v>13661</v>
      </c>
      <c r="E22" s="50">
        <v>2798.28</v>
      </c>
      <c r="F22" s="50">
        <v>49.64</v>
      </c>
      <c r="G22" s="146">
        <v>1</v>
      </c>
      <c r="H22" s="146">
        <f t="shared" si="0"/>
        <v>1.0678544721526806</v>
      </c>
      <c r="I22" s="147">
        <f>SUM(D22/B22+1)</f>
        <v>1.4441590532236563</v>
      </c>
      <c r="J22" s="50">
        <f>0.9+0.1*(0.8*E22/E22+0.2*F22/F22)</f>
        <v>1</v>
      </c>
      <c r="K22" s="146">
        <f>SUM(B22*G22/B22)/(B22*G22/B22)</f>
        <v>1</v>
      </c>
      <c r="L22" s="146">
        <f>SUM(B22*G22*J22/B22)/(B22*G22*J22/B22)</f>
        <v>1</v>
      </c>
      <c r="M22" s="146">
        <f xml:space="preserve"> SUM(B22*G22*J22/B22)/(B22*G22*J22/B22)</f>
        <v>1</v>
      </c>
      <c r="N22" s="146">
        <f>SUM(B22*H22*I22/B22)/(B22*H22*I22/B22)</f>
        <v>1</v>
      </c>
      <c r="O22" s="90">
        <f t="shared" si="1"/>
        <v>1</v>
      </c>
    </row>
    <row r="23" spans="1:15" s="5" customFormat="1" x14ac:dyDescent="0.25">
      <c r="A23" s="38"/>
      <c r="B23" s="38"/>
      <c r="C23" s="4"/>
      <c r="D23" s="4"/>
      <c r="E23" s="4"/>
      <c r="F23" s="4"/>
      <c r="G23" s="87"/>
      <c r="H23" s="4"/>
      <c r="I23" s="88"/>
      <c r="J23" s="4"/>
      <c r="K23" s="4"/>
      <c r="L23" s="4"/>
      <c r="M23" s="4"/>
      <c r="N23" s="4"/>
      <c r="O23" s="50"/>
    </row>
    <row r="24" spans="1:15" s="5" customFormat="1" x14ac:dyDescent="0.25">
      <c r="A24" s="38"/>
      <c r="B24" s="38"/>
      <c r="C24" s="50"/>
      <c r="D24" s="4"/>
      <c r="E24" s="4"/>
      <c r="F24" s="4"/>
      <c r="G24" s="4"/>
      <c r="H24" s="4"/>
      <c r="I24" s="88"/>
      <c r="J24" s="4"/>
      <c r="K24" s="4"/>
      <c r="L24" s="4"/>
      <c r="M24" s="4"/>
      <c r="N24" s="4"/>
      <c r="O24" s="4"/>
    </row>
    <row r="25" spans="1:15" s="5" customFormat="1" x14ac:dyDescent="0.25">
      <c r="I25" s="89"/>
    </row>
    <row r="26" spans="1:15" s="5" customFormat="1" x14ac:dyDescent="0.25"/>
    <row r="27" spans="1:15" s="5" customForma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5" s="5" customFormat="1" x14ac:dyDescent="0.25">
      <c r="A28" s="57" t="s">
        <v>62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5" s="5" customFormat="1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5" s="5" customFormat="1" x14ac:dyDescent="0.25">
      <c r="A30" s="122" t="s">
        <v>63</v>
      </c>
      <c r="B30" s="122"/>
      <c r="C30" s="50">
        <v>0.23499999999999999</v>
      </c>
      <c r="D30" s="50"/>
      <c r="E30" s="57"/>
      <c r="F30" s="57"/>
      <c r="G30" s="57"/>
      <c r="H30" s="57"/>
      <c r="I30" s="57"/>
      <c r="J30" s="57"/>
      <c r="K30" s="57"/>
    </row>
    <row r="31" spans="1:15" s="5" customFormat="1" x14ac:dyDescent="0.25">
      <c r="A31" s="122" t="s">
        <v>64</v>
      </c>
      <c r="B31" s="122"/>
      <c r="C31" s="90">
        <v>0.18</v>
      </c>
      <c r="D31" s="90"/>
      <c r="E31" s="57"/>
      <c r="F31" s="57"/>
      <c r="G31" s="57"/>
      <c r="H31" s="57"/>
      <c r="I31" s="57"/>
      <c r="J31" s="57"/>
      <c r="K31" s="57"/>
    </row>
    <row r="32" spans="1:15" s="5" customFormat="1" x14ac:dyDescent="0.25">
      <c r="A32" s="122" t="s">
        <v>65</v>
      </c>
      <c r="B32" s="122"/>
      <c r="C32" s="90">
        <v>6.5000000000000002E-2</v>
      </c>
      <c r="D32" s="90"/>
      <c r="E32" s="57"/>
      <c r="F32" s="57"/>
      <c r="G32" s="57"/>
      <c r="H32" s="57"/>
      <c r="I32" s="57"/>
      <c r="J32" s="57"/>
      <c r="K32" s="57"/>
    </row>
    <row r="33" spans="1:15" s="5" customFormat="1" x14ac:dyDescent="0.25">
      <c r="A33" s="122" t="s">
        <v>66</v>
      </c>
      <c r="B33" s="122"/>
      <c r="C33" s="90">
        <v>0.52</v>
      </c>
      <c r="D33" s="90"/>
      <c r="E33" s="57"/>
      <c r="F33" s="57"/>
      <c r="G33" s="57"/>
      <c r="H33" s="57"/>
      <c r="I33" s="57"/>
      <c r="J33" s="57"/>
      <c r="K33" s="57"/>
    </row>
    <row r="34" spans="1:15" s="5" customFormat="1" x14ac:dyDescent="0.25"/>
    <row r="35" spans="1:15" s="5" customFormat="1" x14ac:dyDescent="0.25"/>
    <row r="36" spans="1:15" s="5" customFormat="1" x14ac:dyDescent="0.25"/>
    <row r="37" spans="1:15" s="5" customFormat="1" x14ac:dyDescent="0.25"/>
    <row r="38" spans="1:15" x14ac:dyDescent="0.25">
      <c r="A38" s="63"/>
      <c r="B38" s="63"/>
      <c r="C38" s="63"/>
      <c r="D38" s="63"/>
      <c r="E38" s="63"/>
      <c r="F38" s="63"/>
      <c r="G38" s="5"/>
      <c r="H38" s="5"/>
      <c r="I38" s="5"/>
      <c r="J38" s="5"/>
      <c r="K38" s="5"/>
      <c r="L38" s="5"/>
      <c r="M38" s="5"/>
      <c r="N38" s="5"/>
      <c r="O38" s="63"/>
    </row>
    <row r="39" spans="1:15" x14ac:dyDescent="0.25">
      <c r="A39" s="63"/>
      <c r="B39" s="63"/>
      <c r="C39" s="63"/>
      <c r="D39" s="63"/>
      <c r="E39" s="63"/>
      <c r="F39" s="63"/>
      <c r="G39" s="5"/>
      <c r="H39" s="5"/>
      <c r="I39" s="5"/>
      <c r="J39" s="5"/>
      <c r="K39" s="5"/>
      <c r="L39" s="5"/>
      <c r="M39" s="5"/>
      <c r="N39" s="5"/>
      <c r="O39" s="63"/>
    </row>
    <row r="40" spans="1:1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1:15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</row>
    <row r="50" spans="1:15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</row>
    <row r="51" spans="1:15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</row>
    <row r="52" spans="1:15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</row>
    <row r="53" spans="1:15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</row>
    <row r="54" spans="1:15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5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5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5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1:15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  <row r="60" spans="1:15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</row>
    <row r="61" spans="1:15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1:15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</row>
    <row r="63" spans="1:15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1:15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15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</row>
    <row r="68" spans="1:15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</row>
    <row r="69" spans="1:15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</row>
    <row r="70" spans="1:15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</row>
    <row r="71" spans="1:15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</row>
    <row r="72" spans="1:15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</row>
    <row r="73" spans="1:15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</row>
    <row r="74" spans="1:15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</row>
    <row r="75" spans="1:15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</row>
    <row r="76" spans="1:15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</row>
    <row r="77" spans="1:15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</sheetData>
  <mergeCells count="11">
    <mergeCell ref="O5:O6"/>
    <mergeCell ref="A5:A6"/>
    <mergeCell ref="B5:B6"/>
    <mergeCell ref="E5:F5"/>
    <mergeCell ref="G5:J5"/>
    <mergeCell ref="C5:D5"/>
    <mergeCell ref="A30:B30"/>
    <mergeCell ref="A31:B31"/>
    <mergeCell ref="A32:B32"/>
    <mergeCell ref="A33:B33"/>
    <mergeCell ref="K5:N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2023-10-30T11:19:42Z</dcterms:modified>
</cp:coreProperties>
</file>